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5.xml.rels" ContentType="application/vnd.openxmlformats-package.relationships+xml"/>
  <Override PartName="/xl/worksheets/_rels/sheet3.xml.rels" ContentType="application/vnd.openxmlformats-package.relationships+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17.png" ContentType="image/png"/>
  <Override PartName="/xl/media/image18.wmf" ContentType="image/x-wmf"/>
  <Override PartName="/xl/media/image19.wmf" ContentType="image/x-wmf"/>
  <Override PartName="/xl/media/image20.wmf" ContentType="image/x-wmf"/>
  <Override PartName="/xl/charts/chart57.xml" ContentType="application/vnd.openxmlformats-officedocument.drawingml.chart+xml"/>
  <Override PartName="/xl/charts/chart58.xml" ContentType="application/vnd.openxmlformats-officedocument.drawingml.chart+xml"/>
  <Override PartName="/xl/drawings/_rels/drawing2.xml.rels" ContentType="application/vnd.openxmlformats-package.relationships+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CCL by-sa" sheetId="1" state="visible" r:id="rId2"/>
    <sheet name="Basic soil data" sheetId="2" state="visible" r:id="rId3"/>
    <sheet name="Sonotrode calibration" sheetId="3" state="visible" r:id="rId4"/>
    <sheet name="Field capacity and SPT density" sheetId="4" state="visible" r:id="rId5"/>
    <sheet name="Sonication time" sheetId="5" state="visible" r:id="rId6"/>
    <sheet name="SOC fractions" sheetId="6" state="visible" r:id="rId7"/>
    <sheet name="Water stable aggregates" sheetId="7" state="visible" r:id="rId8"/>
  </sheets>
  <calcPr iterateCount="100" refMode="A1" iterate="tru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<sst xmlns="http://schemas.openxmlformats.org/spreadsheetml/2006/main" count="1160" uniqueCount="214">
  <si>
    <t xml:space="preserve">This document is created by Fredi Büks and Markus Graf-Rosenfellner and published under the creative common license CCL by-sa.</t>
  </si>
  <si>
    <t xml:space="preserve">Sample</t>
  </si>
  <si>
    <t xml:space="preserve">Location</t>
  </si>
  <si>
    <t xml:space="preserve">mean annual T</t>
  </si>
  <si>
    <t xml:space="preserve">mean annual precipitation</t>
  </si>
  <si>
    <t xml:space="preserve">Geology</t>
  </si>
  <si>
    <t xml:space="preserve">Soil type</t>
  </si>
  <si>
    <t xml:space="preserve">Land cover</t>
  </si>
  <si>
    <t xml:space="preserve">Sand</t>
  </si>
  <si>
    <t xml:space="preserve">Silt</t>
  </si>
  <si>
    <t xml:space="preserve">Clay</t>
  </si>
  <si>
    <t xml:space="preserve">Texture class</t>
  </si>
  <si>
    <t xml:space="preserve">pH</t>
  </si>
  <si>
    <t xml:space="preserve">SOM</t>
  </si>
  <si>
    <t xml:space="preserve">(°C)</t>
  </si>
  <si>
    <t xml:space="preserve">(mm)</t>
  </si>
  <si>
    <t xml:space="preserve">(WRB)</t>
  </si>
  <si>
    <t xml:space="preserve">(mass%)</t>
  </si>
  <si>
    <t xml:space="preserve">(KA6)</t>
  </si>
  <si>
    <t xml:space="preserve">(-)</t>
  </si>
  <si>
    <t xml:space="preserve">(g/kg dry soil)</t>
  </si>
  <si>
    <t xml:space="preserve">Loamy sand</t>
  </si>
  <si>
    <t xml:space="preserve">Oranienburg (Germany)</t>
  </si>
  <si>
    <t xml:space="preserve">Fluviatile sediments of the Weichselian glaciation</t>
  </si>
  <si>
    <t xml:space="preserve">Cambisol</t>
  </si>
  <si>
    <t xml:space="preserve">organic gardening, annual vegetables</t>
  </si>
  <si>
    <t xml:space="preserve">Sl2</t>
  </si>
  <si>
    <t xml:space="preserve">±</t>
  </si>
  <si>
    <t xml:space="preserve">Clayey silt</t>
  </si>
  <si>
    <t xml:space="preserve">Langendorf (Germany)</t>
  </si>
  <si>
    <t xml:space="preserve">Eolian loess and fluiviatile loamy deposits of the Saale river</t>
  </si>
  <si>
    <t xml:space="preserve">Ut3</t>
  </si>
  <si>
    <t xml:space="preserve">Silty loam</t>
  </si>
  <si>
    <t xml:space="preserve">Tonndorf (Germany)</t>
  </si>
  <si>
    <t xml:space="preserve">Transition zone between Triassic shell limestone and colored sandstone plus eolian glacial deposits</t>
  </si>
  <si>
    <t xml:space="preserve">Lu</t>
  </si>
  <si>
    <t xml:space="preserve">Heat capacity c (water)</t>
  </si>
  <si>
    <t xml:space="preserve">Calibration of the ultrasonication device</t>
  </si>
  <si>
    <t xml:space="preserve">T</t>
  </si>
  <si>
    <r>
      <rPr>
        <b val="true"/>
        <sz val="10"/>
        <rFont val="Arial"/>
        <family val="2"/>
        <charset val="1"/>
      </rPr>
      <t xml:space="preserve">c</t>
    </r>
    <r>
      <rPr>
        <b val="true"/>
        <vertAlign val="subscript"/>
        <sz val="10"/>
        <rFont val="Arial"/>
        <family val="2"/>
        <charset val="1"/>
      </rPr>
      <t xml:space="preserve">H2O</t>
    </r>
  </si>
  <si>
    <t xml:space="preserve">
As you can see, the heat capacity is nearly constant between 25 and 45°C. Apply the calibration procedure within this T range.
Another advantage: At constant heat capacity, heat uptake by the water is increasing linearly with time. This means, that you can apply several sequential measurements with the same lot of water as long as you stay within this T range.</t>
  </si>
  <si>
    <t xml:space="preserve">[°C]</t>
  </si>
  <si>
    <t xml:space="preserve">[J/kg*K]</t>
  </si>
  <si>
    <r>
      <rPr>
        <sz val="10"/>
        <rFont val="Arial"/>
        <family val="2"/>
        <charset val="1"/>
      </rPr>
      <t xml:space="preserve">The power of the sonotrode is calculated based on the </t>
    </r>
    <r>
      <rPr>
        <sz val="10"/>
        <rFont val="Ubuntu"/>
        <family val="0"/>
        <charset val="1"/>
      </rPr>
      <t xml:space="preserve">Δ</t>
    </r>
    <r>
      <rPr>
        <sz val="10"/>
        <rFont val="Arial"/>
        <family val="2"/>
        <charset val="1"/>
      </rPr>
      <t xml:space="preserve">T between starting and end time of ultrasonication. Heating of deionized water appears in linear proportion to the time of ultrasonication. The slope of the gradient is proportional to the power of the sonotrode. During the calibration, water should have a temperature between 25 and 45°C, when heat capacity is nearly constant. Lines of both parallels should be as similar as possible (standard devitation sd&lt;1.5 J/s) – if not, there has something gone wrong and you should repeat the calibration. Depending on the age and brand of the sonotrode, its power might vary, but should be &gt;40 J/s in any case.</t>
    </r>
  </si>
  <si>
    <t xml:space="preserve">P = power output of the sonotrode</t>
  </si>
  <si>
    <r>
      <rPr>
        <sz val="12"/>
        <rFont val="Arial"/>
        <family val="2"/>
        <charset val="1"/>
      </rPr>
      <t xml:space="preserve">m</t>
    </r>
    <r>
      <rPr>
        <vertAlign val="subscript"/>
        <sz val="12"/>
        <rFont val="Arial"/>
        <family val="2"/>
        <charset val="1"/>
      </rPr>
      <t xml:space="preserve">H2O</t>
    </r>
    <r>
      <rPr>
        <sz val="12"/>
        <rFont val="Arial"/>
        <family val="2"/>
        <charset val="1"/>
      </rPr>
      <t xml:space="preserve"> = mass of water added to the DV</t>
    </r>
  </si>
  <si>
    <r>
      <rPr>
        <sz val="12"/>
        <rFont val="Arial"/>
        <family val="2"/>
        <charset val="1"/>
      </rPr>
      <t xml:space="preserve">c</t>
    </r>
    <r>
      <rPr>
        <vertAlign val="subscript"/>
        <sz val="12"/>
        <rFont val="Arial"/>
        <family val="2"/>
        <charset val="1"/>
      </rPr>
      <t xml:space="preserve">H2O</t>
    </r>
    <r>
      <rPr>
        <sz val="12"/>
        <rFont val="Arial"/>
        <family val="2"/>
        <charset val="1"/>
      </rPr>
      <t xml:space="preserve"> = isobaric heat capacity of water</t>
    </r>
  </si>
  <si>
    <r>
      <rPr>
        <sz val="12"/>
        <rFont val="Arial"/>
        <family val="2"/>
        <charset val="1"/>
      </rPr>
      <t xml:space="preserve">W</t>
    </r>
    <r>
      <rPr>
        <vertAlign val="subscript"/>
        <sz val="12"/>
        <rFont val="Arial"/>
        <family val="2"/>
        <charset val="1"/>
      </rPr>
      <t xml:space="preserve">Dewar</t>
    </r>
    <r>
      <rPr>
        <sz val="12"/>
        <rFont val="Arial"/>
        <family val="2"/>
        <charset val="1"/>
      </rPr>
      <t xml:space="preserve"> = heat capacity of the DV</t>
    </r>
  </si>
  <si>
    <r>
      <rPr>
        <sz val="12"/>
        <rFont val="Ubuntu"/>
        <family val="0"/>
        <charset val="1"/>
      </rPr>
      <t xml:space="preserve">Δ</t>
    </r>
    <r>
      <rPr>
        <sz val="12"/>
        <rFont val="Arial"/>
        <family val="2"/>
        <charset val="1"/>
      </rPr>
      <t xml:space="preserve">T=heat difference after sonication</t>
    </r>
  </si>
  <si>
    <t xml:space="preserve">t=time of sonication</t>
  </si>
  <si>
    <t xml:space="preserve">H=reaction enthalpy (here =0)</t>
  </si>
  <si>
    <t xml:space="preserve">Messung:</t>
  </si>
  <si>
    <t xml:space="preserve">1st parallel</t>
  </si>
  <si>
    <t xml:space="preserve">2nd parallel</t>
  </si>
  <si>
    <t xml:space="preserve">These data of isobaric heat capacity are derived from VDI heat atlas and are nearly similar to other reference, e.g.:
https://www.engineeringtoolbox.com/specific-heat-capacity-water-d_660.html</t>
  </si>
  <si>
    <t xml:space="preserve">Datum:</t>
  </si>
  <si>
    <t xml:space="preserve">m</t>
  </si>
  <si>
    <t xml:space="preserve">[g]</t>
  </si>
  <si>
    <t xml:space="preserve">norm.</t>
  </si>
  <si>
    <r>
      <rPr>
        <b val="true"/>
        <sz val="10"/>
        <rFont val="Arial"/>
        <family val="2"/>
        <charset val="1"/>
      </rPr>
      <t xml:space="preserve">C</t>
    </r>
    <r>
      <rPr>
        <b val="true"/>
        <vertAlign val="subscript"/>
        <sz val="10"/>
        <rFont val="Arial"/>
        <family val="2"/>
        <charset val="1"/>
      </rPr>
      <t xml:space="preserve">H2O   </t>
    </r>
    <r>
      <rPr>
        <b val="true"/>
        <sz val="10"/>
        <rFont val="Arial"/>
        <family val="2"/>
        <charset val="1"/>
      </rPr>
      <t xml:space="preserve">=</t>
    </r>
  </si>
  <si>
    <r>
      <rPr>
        <b val="true"/>
        <sz val="10"/>
        <rFont val="Arial"/>
        <family val="2"/>
        <charset val="1"/>
      </rPr>
      <t xml:space="preserve">T</t>
    </r>
    <r>
      <rPr>
        <b val="true"/>
        <vertAlign val="subscript"/>
        <sz val="10"/>
        <rFont val="Arial"/>
        <family val="2"/>
        <charset val="1"/>
      </rPr>
      <t xml:space="preserve">start</t>
    </r>
  </si>
  <si>
    <r>
      <rPr>
        <b val="true"/>
        <sz val="10"/>
        <rFont val="Arial"/>
        <family val="2"/>
        <charset val="1"/>
      </rPr>
      <t xml:space="preserve">T</t>
    </r>
    <r>
      <rPr>
        <b val="true"/>
        <vertAlign val="subscript"/>
        <sz val="10"/>
        <rFont val="Arial"/>
        <family val="2"/>
        <charset val="1"/>
      </rPr>
      <t xml:space="preserve">end</t>
    </r>
  </si>
  <si>
    <t xml:space="preserve">[J/g*K]</t>
  </si>
  <si>
    <r>
      <rPr>
        <b val="true"/>
        <sz val="10"/>
        <rFont val="Ubuntu"/>
        <family val="0"/>
        <charset val="1"/>
      </rPr>
      <t xml:space="preserve">Δ</t>
    </r>
    <r>
      <rPr>
        <b val="true"/>
        <sz val="10"/>
        <rFont val="Arial"/>
        <family val="2"/>
        <charset val="1"/>
      </rPr>
      <t xml:space="preserve">T</t>
    </r>
  </si>
  <si>
    <t xml:space="preserve">[K]</t>
  </si>
  <si>
    <t xml:space="preserve">Heat capacity Dewar vessel (DV)</t>
  </si>
  <si>
    <t xml:space="preserve">t</t>
  </si>
  <si>
    <t xml:space="preserve">[s]</t>
  </si>
  <si>
    <t xml:space="preserve">P</t>
  </si>
  <si>
    <t xml:space="preserve">[J/s]</t>
  </si>
  <si>
    <r>
      <rPr>
        <b val="true"/>
        <sz val="10"/>
        <rFont val="Arial"/>
        <family val="2"/>
        <charset val="1"/>
      </rPr>
      <t xml:space="preserve">P</t>
    </r>
    <r>
      <rPr>
        <b val="true"/>
        <vertAlign val="subscript"/>
        <sz val="10"/>
        <rFont val="Ubuntu"/>
        <family val="0"/>
        <charset val="1"/>
      </rPr>
      <t xml:space="preserve">Ø</t>
    </r>
  </si>
  <si>
    <r>
      <rPr>
        <b val="true"/>
        <sz val="10"/>
        <rFont val="Arial"/>
        <family val="2"/>
        <charset val="1"/>
      </rPr>
      <t xml:space="preserve">P</t>
    </r>
    <r>
      <rPr>
        <b val="true"/>
        <vertAlign val="subscript"/>
        <sz val="10"/>
        <rFont val="Ubuntu"/>
        <family val="0"/>
        <charset val="1"/>
      </rPr>
      <t xml:space="preserve">Ø</t>
    </r>
    <r>
      <rPr>
        <b val="true"/>
        <sz val="10"/>
        <rFont val="Arial"/>
        <family val="2"/>
        <charset val="1"/>
      </rPr>
      <t xml:space="preserve"> (SD)</t>
    </r>
  </si>
  <si>
    <t xml:space="preserve">Meas.</t>
  </si>
  <si>
    <r>
      <rPr>
        <b val="true"/>
        <sz val="10"/>
        <rFont val="Arial"/>
        <family val="2"/>
        <charset val="1"/>
      </rPr>
      <t xml:space="preserve">T</t>
    </r>
    <r>
      <rPr>
        <b val="true"/>
        <vertAlign val="subscript"/>
        <sz val="10"/>
        <rFont val="Arial"/>
        <family val="2"/>
        <charset val="1"/>
      </rPr>
      <t xml:space="preserve">cold</t>
    </r>
  </si>
  <si>
    <r>
      <rPr>
        <b val="true"/>
        <sz val="10"/>
        <rFont val="Arial"/>
        <family val="2"/>
        <charset val="1"/>
      </rPr>
      <t xml:space="preserve">m</t>
    </r>
    <r>
      <rPr>
        <b val="true"/>
        <vertAlign val="subscript"/>
        <sz val="10"/>
        <rFont val="Arial"/>
        <family val="2"/>
        <charset val="1"/>
      </rPr>
      <t xml:space="preserve">cold</t>
    </r>
  </si>
  <si>
    <r>
      <rPr>
        <b val="true"/>
        <sz val="10"/>
        <rFont val="Arial"/>
        <family val="2"/>
        <charset val="1"/>
      </rPr>
      <t xml:space="preserve">T</t>
    </r>
    <r>
      <rPr>
        <b val="true"/>
        <vertAlign val="subscript"/>
        <sz val="10"/>
        <rFont val="Arial"/>
        <family val="2"/>
        <charset val="1"/>
      </rPr>
      <t xml:space="preserve">warm</t>
    </r>
  </si>
  <si>
    <r>
      <rPr>
        <b val="true"/>
        <sz val="10"/>
        <rFont val="Arial"/>
        <family val="2"/>
        <charset val="1"/>
      </rPr>
      <t xml:space="preserve">m</t>
    </r>
    <r>
      <rPr>
        <b val="true"/>
        <vertAlign val="subscript"/>
        <sz val="10"/>
        <rFont val="Arial"/>
        <family val="2"/>
        <charset val="1"/>
      </rPr>
      <t xml:space="preserve">warm</t>
    </r>
  </si>
  <si>
    <r>
      <rPr>
        <b val="true"/>
        <sz val="10"/>
        <rFont val="Arial"/>
        <family val="2"/>
        <charset val="1"/>
      </rPr>
      <t xml:space="preserve">T</t>
    </r>
    <r>
      <rPr>
        <b val="true"/>
        <vertAlign val="subscript"/>
        <sz val="10"/>
        <rFont val="Arial"/>
        <family val="2"/>
        <charset val="1"/>
      </rPr>
      <t xml:space="preserve">equ</t>
    </r>
  </si>
  <si>
    <r>
      <rPr>
        <b val="true"/>
        <sz val="10"/>
        <rFont val="Arial"/>
        <family val="2"/>
        <charset val="1"/>
      </rPr>
      <t xml:space="preserve">W</t>
    </r>
    <r>
      <rPr>
        <b val="true"/>
        <vertAlign val="subscript"/>
        <sz val="10"/>
        <rFont val="Arial"/>
        <family val="2"/>
        <charset val="1"/>
      </rPr>
      <t xml:space="preserve">dewar</t>
    </r>
  </si>
  <si>
    <t xml:space="preserve">Nr.</t>
  </si>
  <si>
    <t xml:space="preserve">[J/K]</t>
  </si>
  <si>
    <t xml:space="preserve">MV</t>
  </si>
  <si>
    <r>
      <rPr>
        <i val="true"/>
        <sz val="10"/>
        <rFont val="Arial"/>
        <family val="2"/>
        <charset val="1"/>
      </rPr>
      <t xml:space="preserve">←This is the mean heat capacity of </t>
    </r>
    <r>
      <rPr>
        <i val="true"/>
        <u val="single"/>
        <sz val="10"/>
        <rFont val="Arial"/>
        <family val="2"/>
        <charset val="1"/>
      </rPr>
      <t xml:space="preserve">our</t>
    </r>
    <r>
      <rPr>
        <i val="true"/>
        <sz val="10"/>
        <rFont val="Arial"/>
        <family val="2"/>
        <charset val="1"/>
      </rPr>
      <t xml:space="preserve"> DV</t>
    </r>
  </si>
  <si>
    <t xml:space="preserve">SD</t>
  </si>
  <si>
    <t xml:space="preserve">treatment</t>
  </si>
  <si>
    <t xml:space="preserve">sample</t>
  </si>
  <si>
    <t xml:space="preserve">Empty ring</t>
  </si>
  <si>
    <t xml:space="preserve">Ring + soil (pF 1.8)</t>
  </si>
  <si>
    <t xml:space="preserve">Ring + soil (oven-dry)</t>
  </si>
  <si>
    <t xml:space="preserve">soil
(pF 1.8)</t>
  </si>
  <si>
    <t xml:space="preserve">soil
(oven-dry)</t>
  </si>
  <si>
    <t xml:space="preserve">WHC*
(mass%,
PF 1.8)</t>
  </si>
  <si>
    <t xml:space="preserve">mean value</t>
  </si>
  <si>
    <t xml:space="preserve">standard daviation</t>
  </si>
  <si>
    <t xml:space="preserve">bulk density</t>
  </si>
  <si>
    <t xml:space="preserve">water (pF 1.8) in 1 g dry mass</t>
  </si>
  <si>
    <t xml:space="preserve">Weight
Soil
(for USD)</t>
  </si>
  <si>
    <t xml:space="preserve">Weight
Soil
(for WSA)</t>
  </si>
  <si>
    <t xml:space="preserve">Density of added SPT solution</t>
  </si>
  <si>
    <t xml:space="preserve">[m%]</t>
  </si>
  <si>
    <t xml:space="preserve">[±%]</t>
  </si>
  <si>
    <t xml:space="preserve">[g/cm³]</t>
  </si>
  <si>
    <t xml:space="preserve">[ml]</t>
  </si>
  <si>
    <t xml:space="preserve">A</t>
  </si>
  <si>
    <t xml:space="preserve">General parameters</t>
  </si>
  <si>
    <t xml:space="preserve">B</t>
  </si>
  <si>
    <t xml:space="preserve">Initial weight soil dry mass:</t>
  </si>
  <si>
    <t xml:space="preserve">g</t>
  </si>
  <si>
    <t xml:space="preserve">C</t>
  </si>
  <si>
    <t xml:space="preserve">Volume SPT:</t>
  </si>
  <si>
    <t xml:space="preserve">ml</t>
  </si>
  <si>
    <t xml:space="preserve">D</t>
  </si>
  <si>
    <t xml:space="preserve">Density soil solution:</t>
  </si>
  <si>
    <t xml:space="preserve">g/cm³</t>
  </si>
  <si>
    <t xml:space="preserve">E</t>
  </si>
  <si>
    <t xml:space="preserve">Resulting density:</t>
  </si>
  <si>
    <t xml:space="preserve">Soil solution:</t>
  </si>
  <si>
    <t xml:space="preserve">ml/g</t>
  </si>
  <si>
    <t xml:space="preserve">Density of SPT solution:</t>
  </si>
  <si>
    <t xml:space="preserve">*WHC=Water holding capacity</t>
  </si>
  <si>
    <t xml:space="preserve">Calculation of ultrasonication time</t>
  </si>
  <si>
    <t xml:space="preserve">Ultrasonication is a common tool to test the susceptibility of soil aggregate structure to mechanical stress and measure soil carbon pools. To help you with your work, we provide this open access sheet to calculate the sonication time needed for the application of a certain amount of mechanical stress (J/ml). The document is CCL by-sa (Frederick Büks) – feel free to optimize and share.</t>
  </si>
  <si>
    <t xml:space="preserve">The calculations are based on:
North, P.: Towards an absolute measurement of soil structural stability using ultrasound, J. Soil Sci., 27, 451–459, https://doi.org/10.1111/j.1365-2389.1976.tb02014.x, 1976.</t>
  </si>
  <si>
    <t xml:space="preserve">Sense solution</t>
  </si>
  <si>
    <t xml:space="preserve">(g/cm3)</t>
  </si>
  <si>
    <t xml:space="preserve">← If you intend to have another density cut-off, please note here.</t>
  </si>
  <si>
    <t xml:space="preserve">power</t>
  </si>
  <si>
    <t xml:space="preserve">(W)=(J/s)</t>
  </si>
  <si>
    <t xml:space="preserve">← Use the sheet „USD calibration“ to measure the power output of your sonotrode (imported from sheet „calibration“).</t>
  </si>
  <si>
    <t xml:space="preserve">     sd +/-</t>
  </si>
  <si>
    <t xml:space="preserve">← This is the standard deviation given by your calibration parallels. It should be &lt;1.5 J/s (imported from sheet „calibration“).</t>
  </si>
  <si>
    <t xml:space="preserve">calibration</t>
  </si>
  <si>
    <t xml:space="preserve">(date)</t>
  </si>
  <si>
    <t xml:space="preserve">← Please note the date of calibration and do not forget to attach a new sheet with every new calibration.</t>
  </si>
  <si>
    <t xml:space="preserve">Soil</t>
  </si>
  <si>
    <t xml:space="preserve">Treatment</t>
  </si>
  <si>
    <t xml:space="preserve">q</t>
  </si>
  <si>
    <t xml:space="preserve">Flask</t>
  </si>
  <si>
    <t xml:space="preserve">Soil
(dry mass)</t>
  </si>
  <si>
    <t xml:space="preserve">water</t>
  </si>
  <si>
    <t xml:space="preserve">Flask, soil, water</t>
  </si>
  <si>
    <t xml:space="preserve">Dense solution</t>
  </si>
  <si>
    <t xml:space="preserve">Needed density</t>
  </si>
  <si>
    <t xml:space="preserve">Flask, soil water, dense solution</t>
  </si>
  <si>
    <t xml:space="preserve">Result. solution</t>
  </si>
  <si>
    <t xml:space="preserve">Volume solution</t>
  </si>
  <si>
    <t xml:space="preserve">Volume soil (dry mass)</t>
  </si>
  <si>
    <t xml:space="preserve">Total volume</t>
  </si>
  <si>
    <t xml:space="preserve">Q</t>
  </si>
  <si>
    <t xml:space="preserve">sonication time</t>
  </si>
  <si>
    <t xml:space="preserve">(J/ml)</t>
  </si>
  <si>
    <t xml:space="preserve">(g)</t>
  </si>
  <si>
    <t xml:space="preserve">(g, ml)</t>
  </si>
  <si>
    <t xml:space="preserve">(ml)</t>
  </si>
  <si>
    <r>
      <rPr>
        <sz val="10"/>
        <rFont val="Arial"/>
        <family val="2"/>
        <charset val="1"/>
      </rPr>
      <t xml:space="preserve">(g/cm</t>
    </r>
    <r>
      <rPr>
        <vertAlign val="superscript"/>
        <sz val="10"/>
        <rFont val="Arial"/>
        <family val="2"/>
        <charset val="1"/>
      </rPr>
      <t xml:space="preserve">-3</t>
    </r>
    <r>
      <rPr>
        <sz val="10"/>
        <rFont val="Arial"/>
        <family val="2"/>
        <charset val="1"/>
      </rPr>
      <t xml:space="preserve">)</t>
    </r>
  </si>
  <si>
    <t xml:space="preserve">(ml, cm³)</t>
  </si>
  <si>
    <t xml:space="preserve">[J]</t>
  </si>
  <si>
    <t xml:space="preserve">[min,s]</t>
  </si>
  <si>
    <t xml:space="preserve">field fresh</t>
  </si>
  <si>
    <t xml:space="preserve">0 weeks</t>
  </si>
  <si>
    <t xml:space="preserve">1 week</t>
  </si>
  <si>
    <t xml:space="preserve">4 weeks</t>
  </si>
  <si>
    <t xml:space="preserve"> </t>
  </si>
  <si>
    <t xml:space="preserve">basic data</t>
  </si>
  <si>
    <t xml:space="preserve">soil</t>
  </si>
  <si>
    <t xml:space="preserve">treatm.
(weeks)</t>
  </si>
  <si>
    <t xml:space="preserve">No.</t>
  </si>
  <si>
    <t xml:space="preserve">initial dry weight</t>
  </si>
  <si>
    <t xml:space="preserve">flask</t>
  </si>
  <si>
    <t xml:space="preserve">flask, POM (oven-dry)</t>
  </si>
  <si>
    <t xml:space="preserve">mass per flask</t>
  </si>
  <si>
    <t xml:space="preserve">C:N</t>
  </si>
  <si>
    <t xml:space="preserve">mv C:N</t>
  </si>
  <si>
    <t xml:space="preserve">sd C:N</t>
  </si>
  <si>
    <r>
      <rPr>
        <b val="true"/>
        <sz val="10"/>
        <rFont val="Arial"/>
        <family val="2"/>
        <charset val="1"/>
      </rPr>
      <t xml:space="preserve">C</t>
    </r>
    <r>
      <rPr>
        <b val="true"/>
        <vertAlign val="subscript"/>
        <sz val="10"/>
        <rFont val="Arial"/>
        <family val="2"/>
        <charset val="1"/>
      </rPr>
      <t xml:space="preserve">org</t>
    </r>
  </si>
  <si>
    <t xml:space="preserve">POM</t>
  </si>
  <si>
    <t xml:space="preserve">standard deviation</t>
  </si>
  <si>
    <r>
      <rPr>
        <b val="true"/>
        <sz val="10"/>
        <rFont val="Arial"/>
        <family val="2"/>
        <charset val="1"/>
      </rPr>
      <t xml:space="preserve">C</t>
    </r>
    <r>
      <rPr>
        <b val="true"/>
        <vertAlign val="subscript"/>
        <sz val="10"/>
        <rFont val="Arial"/>
        <family val="2"/>
        <charset val="1"/>
      </rPr>
      <t xml:space="preserve">rel</t>
    </r>
  </si>
  <si>
    <t xml:space="preserve">T-Test
(p&lt;0.05)</t>
  </si>
  <si>
    <t xml:space="preserve">[J/ml]</t>
  </si>
  <si>
    <t xml:space="preserve">[%]</t>
  </si>
  <si>
    <t xml:space="preserve">(g/kg)</t>
  </si>
  <si>
    <t xml:space="preserve">[g/kg]</t>
  </si>
  <si>
    <t xml:space="preserve">f</t>
  </si>
  <si>
    <t xml:space="preserve">residuum</t>
  </si>
  <si>
    <t xml:space="preserve">-</t>
  </si>
  <si>
    <t xml:space="preserve">1.5xIQR test</t>
  </si>
  <si>
    <t xml:space="preserve">Shapiro-Wilk test</t>
  </si>
  <si>
    <t xml:space="preserve">Outliers</t>
  </si>
  <si>
    <t xml:space="preserve">Oven-dried</t>
  </si>
  <si>
    <t xml:space="preserve">water labile (&lt;250µm)</t>
  </si>
  <si>
    <t xml:space="preserve">water stable (&lt;250µm)</t>
  </si>
  <si>
    <t xml:space="preserve">&gt;250µm</t>
  </si>
  <si>
    <t xml:space="preserve">Inc</t>
  </si>
  <si>
    <t xml:space="preserve">no</t>
  </si>
  <si>
    <t xml:space="preserve">empty flask</t>
  </si>
  <si>
    <t xml:space="preserve">flask+ soil (oven-dry)</t>
  </si>
  <si>
    <r>
      <rPr>
        <b val="true"/>
        <sz val="10"/>
        <rFont val="Arial"/>
        <family val="2"/>
        <charset val="1"/>
      </rPr>
      <t xml:space="preserve">m</t>
    </r>
    <r>
      <rPr>
        <b val="true"/>
        <vertAlign val="subscript"/>
        <sz val="10"/>
        <rFont val="Arial"/>
        <family val="2"/>
        <charset val="1"/>
      </rPr>
      <t xml:space="preserve">1</t>
    </r>
  </si>
  <si>
    <r>
      <rPr>
        <b val="true"/>
        <sz val="10"/>
        <rFont val="Arial"/>
        <family val="2"/>
        <charset val="1"/>
      </rPr>
      <t xml:space="preserve">m</t>
    </r>
    <r>
      <rPr>
        <b val="true"/>
        <vertAlign val="subscript"/>
        <sz val="10"/>
        <rFont val="Arial"/>
        <family val="2"/>
        <charset val="1"/>
      </rPr>
      <t xml:space="preserve">2</t>
    </r>
  </si>
  <si>
    <r>
      <rPr>
        <b val="true"/>
        <sz val="10"/>
        <rFont val="Arial"/>
        <family val="2"/>
        <charset val="1"/>
      </rPr>
      <t xml:space="preserve">m</t>
    </r>
    <r>
      <rPr>
        <b val="true"/>
        <vertAlign val="subscript"/>
        <sz val="10"/>
        <rFont val="Arial"/>
        <family val="2"/>
        <charset val="1"/>
      </rPr>
      <t xml:space="preserve">R</t>
    </r>
  </si>
  <si>
    <r>
      <rPr>
        <b val="true"/>
        <sz val="10"/>
        <rFont val="Arial"/>
        <family val="2"/>
        <charset val="1"/>
      </rPr>
      <t xml:space="preserve">WLA
(m</t>
    </r>
    <r>
      <rPr>
        <b val="true"/>
        <vertAlign val="subscript"/>
        <sz val="10"/>
        <rFont val="Arial"/>
        <family val="2"/>
        <charset val="1"/>
      </rPr>
      <t xml:space="preserve">1</t>
    </r>
    <r>
      <rPr>
        <b val="true"/>
        <sz val="10"/>
        <rFont val="Arial"/>
        <family val="2"/>
        <charset val="1"/>
      </rPr>
      <t xml:space="preserve">/(m</t>
    </r>
    <r>
      <rPr>
        <b val="true"/>
        <vertAlign val="subscript"/>
        <sz val="10"/>
        <rFont val="Arial"/>
        <family val="2"/>
        <charset val="1"/>
      </rPr>
      <t xml:space="preserve">1</t>
    </r>
    <r>
      <rPr>
        <b val="true"/>
        <sz val="10"/>
        <rFont val="Arial"/>
        <family val="2"/>
        <charset val="1"/>
      </rPr>
      <t xml:space="preserve">+m</t>
    </r>
    <r>
      <rPr>
        <b val="true"/>
        <vertAlign val="subscript"/>
        <sz val="10"/>
        <rFont val="Arial"/>
        <family val="2"/>
        <charset val="1"/>
      </rPr>
      <t xml:space="preserve">2</t>
    </r>
    <r>
      <rPr>
        <b val="true"/>
        <sz val="10"/>
        <rFont val="Arial"/>
        <family val="2"/>
        <charset val="1"/>
      </rPr>
      <t xml:space="preserve">+R))</t>
    </r>
  </si>
  <si>
    <r>
      <rPr>
        <b val="true"/>
        <sz val="10"/>
        <rFont val="Arial"/>
        <family val="2"/>
        <charset val="1"/>
      </rPr>
      <t xml:space="preserve">T-Test</t>
    </r>
    <r>
      <rPr>
        <sz val="10"/>
        <rFont val="Arial"/>
        <family val="2"/>
        <charset val="1"/>
      </rPr>
      <t xml:space="preserve"> (p&lt;0.05)</t>
    </r>
  </si>
  <si>
    <r>
      <rPr>
        <b val="true"/>
        <sz val="10"/>
        <rFont val="Arial"/>
        <family val="2"/>
        <charset val="1"/>
      </rPr>
      <t xml:space="preserve">WSA
(m</t>
    </r>
    <r>
      <rPr>
        <b val="true"/>
        <vertAlign val="subscript"/>
        <sz val="10"/>
        <rFont val="Arial"/>
        <family val="2"/>
        <charset val="1"/>
      </rPr>
      <t xml:space="preserve">2</t>
    </r>
    <r>
      <rPr>
        <b val="true"/>
        <sz val="10"/>
        <rFont val="Arial"/>
        <family val="2"/>
        <charset val="1"/>
      </rPr>
      <t xml:space="preserve">/(m</t>
    </r>
    <r>
      <rPr>
        <b val="true"/>
        <vertAlign val="subscript"/>
        <sz val="10"/>
        <rFont val="Arial"/>
        <family val="2"/>
        <charset val="1"/>
      </rPr>
      <t xml:space="preserve">1</t>
    </r>
    <r>
      <rPr>
        <b val="true"/>
        <sz val="10"/>
        <rFont val="Arial"/>
        <family val="2"/>
        <charset val="1"/>
      </rPr>
      <t xml:space="preserve">+m</t>
    </r>
    <r>
      <rPr>
        <b val="true"/>
        <vertAlign val="subscript"/>
        <sz val="10"/>
        <rFont val="Arial"/>
        <family val="2"/>
        <charset val="1"/>
      </rPr>
      <t xml:space="preserve">2</t>
    </r>
    <r>
      <rPr>
        <b val="true"/>
        <sz val="10"/>
        <rFont val="Arial"/>
        <family val="2"/>
        <charset val="1"/>
      </rPr>
      <t xml:space="preserve">+R))</t>
    </r>
  </si>
  <si>
    <r>
      <rPr>
        <b val="true"/>
        <sz val="10"/>
        <rFont val="Arial"/>
        <family val="2"/>
        <charset val="1"/>
      </rPr>
      <t xml:space="preserve">R
(R/(m</t>
    </r>
    <r>
      <rPr>
        <b val="true"/>
        <vertAlign val="subscript"/>
        <sz val="10"/>
        <rFont val="Arial"/>
        <family val="2"/>
        <charset val="1"/>
      </rPr>
      <t xml:space="preserve">1</t>
    </r>
    <r>
      <rPr>
        <b val="true"/>
        <sz val="10"/>
        <rFont val="Arial"/>
        <family val="2"/>
        <charset val="1"/>
      </rPr>
      <t xml:space="preserve">+m</t>
    </r>
    <r>
      <rPr>
        <b val="true"/>
        <vertAlign val="subscript"/>
        <sz val="10"/>
        <rFont val="Arial"/>
        <family val="2"/>
        <charset val="1"/>
      </rPr>
      <t xml:space="preserve">2</t>
    </r>
    <r>
      <rPr>
        <b val="true"/>
        <sz val="10"/>
        <rFont val="Arial"/>
        <family val="2"/>
        <charset val="1"/>
      </rPr>
      <t xml:space="preserve">+R))</t>
    </r>
  </si>
  <si>
    <t xml:space="preserve">(%)</t>
  </si>
  <si>
    <t xml:space="preserve">0W</t>
  </si>
  <si>
    <t xml:space="preserve">1W</t>
  </si>
  <si>
    <t xml:space="preserve">4W</t>
  </si>
  <si>
    <t xml:space="preserve">3a</t>
  </si>
  <si>
    <t xml:space="preserve">4a</t>
  </si>
  <si>
    <t xml:space="preserve">5a</t>
  </si>
  <si>
    <t xml:space="preserve">2a</t>
  </si>
  <si>
    <t xml:space="preserve">1a</t>
  </si>
  <si>
    <t xml:space="preserve">Silty Loam</t>
  </si>
</sst>
</file>

<file path=xl/styles.xml><?xml version="1.0" encoding="utf-8"?>
<styleSheet xmlns="http://schemas.openxmlformats.org/spreadsheetml/2006/main">
  <numFmts count="10">
    <numFmt numFmtId="164" formatCode="General"/>
    <numFmt numFmtId="165" formatCode="#,##0.00\ [$€-407];[RED]\-#,##0.00\ [$€-407]"/>
    <numFmt numFmtId="166" formatCode="0.0"/>
    <numFmt numFmtId="167" formatCode="0.0000"/>
    <numFmt numFmtId="168" formatCode="mm/dd/yy"/>
    <numFmt numFmtId="169" formatCode="0.000"/>
    <numFmt numFmtId="170" formatCode="General"/>
    <numFmt numFmtId="171" formatCode="0.00"/>
    <numFmt numFmtId="172" formatCode="m/d/yy"/>
    <numFmt numFmtId="173" formatCode="0"/>
  </numFmts>
  <fonts count="39">
    <font>
      <sz val="10"/>
      <name val="Arial"/>
      <family val="2"/>
      <charset val="1"/>
    </font>
    <font>
      <sz val="10"/>
      <name val="Arial"/>
      <family val="0"/>
    </font>
    <font>
      <sz val="10"/>
      <name val="Arial"/>
      <family val="0"/>
    </font>
    <font>
      <sz val="10"/>
      <name val="Arial"/>
      <family val="0"/>
    </font>
    <font>
      <sz val="11"/>
      <color rgb="FF000000"/>
      <name val="Calibri"/>
      <family val="2"/>
      <charset val="1"/>
    </font>
    <font>
      <sz val="11"/>
      <color rgb="FFFFFFFF"/>
      <name val="Calibri"/>
      <family val="2"/>
      <charset val="1"/>
    </font>
    <font>
      <b val="true"/>
      <sz val="11"/>
      <color rgb="FF333333"/>
      <name val="Calibri"/>
      <family val="2"/>
      <charset val="1"/>
    </font>
    <font>
      <b val="true"/>
      <sz val="11"/>
      <color rgb="FFFF9900"/>
      <name val="Calibri"/>
      <family val="2"/>
      <charset val="1"/>
    </font>
    <font>
      <sz val="11"/>
      <color rgb="FF333399"/>
      <name val="Calibri"/>
      <family val="2"/>
      <charset val="1"/>
    </font>
    <font>
      <b val="true"/>
      <sz val="11"/>
      <color rgb="FF000000"/>
      <name val="Calibri"/>
      <family val="2"/>
      <charset val="1"/>
    </font>
    <font>
      <b val="true"/>
      <i val="true"/>
      <u val="single"/>
      <sz val="10"/>
      <name val="Arial"/>
      <family val="2"/>
      <charset val="1"/>
    </font>
    <font>
      <i val="true"/>
      <sz val="11"/>
      <color rgb="FF808080"/>
      <name val="Calibri"/>
      <family val="2"/>
      <charset val="1"/>
    </font>
    <font>
      <sz val="11"/>
      <color rgb="FFFF9900"/>
      <name val="Calibri"/>
      <family val="2"/>
      <charset val="1"/>
    </font>
    <font>
      <sz val="11"/>
      <color rgb="FFFF0000"/>
      <name val="Calibri"/>
      <family val="2"/>
      <charset val="1"/>
    </font>
    <font>
      <b val="true"/>
      <sz val="11"/>
      <color rgb="FFFFFFFF"/>
      <name val="Calibri"/>
      <family val="2"/>
      <charset val="1"/>
    </font>
    <font>
      <b val="true"/>
      <sz val="11"/>
      <color rgb="FF003366"/>
      <name val="Calibri"/>
      <family val="2"/>
      <charset val="1"/>
    </font>
    <font>
      <b val="true"/>
      <sz val="18"/>
      <color rgb="FF003366"/>
      <name val="Cambria"/>
      <family val="2"/>
      <charset val="1"/>
    </font>
    <font>
      <b val="true"/>
      <sz val="10"/>
      <name val="Arial"/>
      <family val="2"/>
      <charset val="1"/>
    </font>
    <font>
      <sz val="10"/>
      <name val="Arial"/>
      <family val="0"/>
      <charset val="1"/>
    </font>
    <font>
      <sz val="10"/>
      <name val="Liberation Sans;Arial"/>
      <family val="2"/>
      <charset val="1"/>
    </font>
    <font>
      <b val="true"/>
      <sz val="12"/>
      <name val="Arial"/>
      <family val="2"/>
      <charset val="1"/>
    </font>
    <font>
      <b val="true"/>
      <sz val="15"/>
      <name val="Arial"/>
      <family val="2"/>
      <charset val="1"/>
    </font>
    <font>
      <b val="true"/>
      <vertAlign val="subscript"/>
      <sz val="10"/>
      <name val="Arial"/>
      <family val="2"/>
      <charset val="1"/>
    </font>
    <font>
      <i val="true"/>
      <sz val="10"/>
      <name val="Arial"/>
      <family val="2"/>
      <charset val="1"/>
    </font>
    <font>
      <sz val="12"/>
      <name val="Arial"/>
      <family val="2"/>
      <charset val="1"/>
    </font>
    <font>
      <b val="true"/>
      <i val="true"/>
      <sz val="12"/>
      <color rgb="FF999999"/>
      <name val="Arial"/>
      <family val="2"/>
      <charset val="1"/>
    </font>
    <font>
      <i val="true"/>
      <sz val="10"/>
      <color rgb="FF999999"/>
      <name val="Arial"/>
      <family val="2"/>
      <charset val="1"/>
    </font>
    <font>
      <b val="true"/>
      <i val="true"/>
      <sz val="10"/>
      <color rgb="FF999999"/>
      <name val="Arial"/>
      <family val="2"/>
      <charset val="1"/>
    </font>
    <font>
      <sz val="10"/>
      <name val="Ubuntu"/>
      <family val="0"/>
      <charset val="1"/>
    </font>
    <font>
      <vertAlign val="subscript"/>
      <sz val="12"/>
      <name val="Arial"/>
      <family val="2"/>
      <charset val="1"/>
    </font>
    <font>
      <sz val="12"/>
      <name val="Ubuntu"/>
      <family val="0"/>
      <charset val="1"/>
    </font>
    <font>
      <sz val="10"/>
      <color rgb="FF0000FF"/>
      <name val="Arial"/>
      <family val="2"/>
      <charset val="1"/>
    </font>
    <font>
      <b val="true"/>
      <sz val="10"/>
      <name val="Ubuntu"/>
      <family val="0"/>
      <charset val="1"/>
    </font>
    <font>
      <b val="true"/>
      <vertAlign val="subscript"/>
      <sz val="10"/>
      <name val="Ubuntu"/>
      <family val="0"/>
      <charset val="1"/>
    </font>
    <font>
      <i val="true"/>
      <u val="single"/>
      <sz val="10"/>
      <name val="Arial"/>
      <family val="2"/>
      <charset val="1"/>
    </font>
    <font>
      <sz val="10"/>
      <name val="Arial"/>
      <family val="2"/>
    </font>
    <font>
      <sz val="13"/>
      <name val="Arial"/>
      <family val="2"/>
    </font>
    <font>
      <vertAlign val="superscript"/>
      <sz val="10"/>
      <name val="Arial"/>
      <family val="2"/>
      <charset val="1"/>
    </font>
    <font>
      <sz val="10"/>
      <color rgb="FF000000"/>
      <name val="Arial"/>
      <family val="2"/>
      <charset val="1"/>
    </font>
  </fonts>
  <fills count="32">
    <fill>
      <patternFill patternType="none"/>
    </fill>
    <fill>
      <patternFill patternType="gray125"/>
    </fill>
    <fill>
      <patternFill patternType="solid">
        <fgColor rgb="FFCCCCFF"/>
        <bgColor rgb="FFCCCCCC"/>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E8F2A1"/>
      </patternFill>
    </fill>
    <fill>
      <patternFill patternType="solid">
        <fgColor rgb="FF99CCFF"/>
        <bgColor rgb="FFB4C7DC"/>
      </patternFill>
    </fill>
    <fill>
      <patternFill patternType="solid">
        <fgColor rgb="FFFF8080"/>
        <bgColor rgb="FFFF99CC"/>
      </patternFill>
    </fill>
    <fill>
      <patternFill patternType="solid">
        <fgColor rgb="FF00FF00"/>
        <bgColor rgb="FF33CCCC"/>
      </patternFill>
    </fill>
    <fill>
      <patternFill patternType="solid">
        <fgColor rgb="FFFFCC00"/>
        <bgColor rgb="FFFFD320"/>
      </patternFill>
    </fill>
    <fill>
      <patternFill patternType="solid">
        <fgColor rgb="FF0066CC"/>
        <bgColor rgb="FF008080"/>
      </patternFill>
    </fill>
    <fill>
      <patternFill patternType="solid">
        <fgColor rgb="FF800080"/>
        <bgColor rgb="FF800080"/>
      </patternFill>
    </fill>
    <fill>
      <patternFill patternType="solid">
        <fgColor rgb="FF33CCCC"/>
        <bgColor rgb="FF339966"/>
      </patternFill>
    </fill>
    <fill>
      <patternFill patternType="solid">
        <fgColor rgb="FFFF9900"/>
        <bgColor rgb="FFFF950E"/>
      </patternFill>
    </fill>
    <fill>
      <patternFill patternType="solid">
        <fgColor rgb="FF333399"/>
        <bgColor rgb="FF004586"/>
      </patternFill>
    </fill>
    <fill>
      <patternFill patternType="solid">
        <fgColor rgb="FFFF0000"/>
        <bgColor rgb="FF800000"/>
      </patternFill>
    </fill>
    <fill>
      <patternFill patternType="solid">
        <fgColor rgb="FF339966"/>
        <bgColor rgb="FF008080"/>
      </patternFill>
    </fill>
    <fill>
      <patternFill patternType="solid">
        <fgColor rgb="FFFF6600"/>
        <bgColor rgb="FFFF8000"/>
      </patternFill>
    </fill>
    <fill>
      <patternFill patternType="solid">
        <fgColor rgb="FFC0C0C0"/>
        <bgColor rgb="FFCCCCCC"/>
      </patternFill>
    </fill>
    <fill>
      <patternFill patternType="solid">
        <fgColor rgb="FF969696"/>
        <bgColor rgb="FF999999"/>
      </patternFill>
    </fill>
    <fill>
      <patternFill patternType="solid">
        <fgColor rgb="FFE8F2A1"/>
        <bgColor rgb="FFF6F9D4"/>
      </patternFill>
    </fill>
    <fill>
      <patternFill patternType="solid">
        <fgColor rgb="FFFFFFFF"/>
        <bgColor rgb="FFF6F9D4"/>
      </patternFill>
    </fill>
    <fill>
      <patternFill patternType="solid">
        <fgColor rgb="FFF6F9D4"/>
        <bgColor rgb="FFEEEEEE"/>
      </patternFill>
    </fill>
    <fill>
      <patternFill patternType="solid">
        <fgColor rgb="FFD4EA6B"/>
        <bgColor rgb="FFBBE33D"/>
      </patternFill>
    </fill>
    <fill>
      <patternFill patternType="solid">
        <fgColor rgb="FFEEEEEE"/>
        <bgColor rgb="FFDEE6EF"/>
      </patternFill>
    </fill>
    <fill>
      <patternFill patternType="solid">
        <fgColor rgb="FFCCCCCC"/>
        <bgColor rgb="FFC0C0C0"/>
      </patternFill>
    </fill>
    <fill>
      <patternFill patternType="solid">
        <fgColor rgb="FFB4C7DC"/>
        <bgColor rgb="FFC0C0C0"/>
      </patternFill>
    </fill>
    <fill>
      <patternFill patternType="solid">
        <fgColor rgb="FFACB20C"/>
        <bgColor rgb="FFBBE33D"/>
      </patternFill>
    </fill>
    <fill>
      <patternFill patternType="solid">
        <fgColor rgb="FFFF8000"/>
        <bgColor rgb="FFFF950E"/>
      </patternFill>
    </fill>
    <fill>
      <patternFill patternType="solid">
        <fgColor rgb="FFDEE6EF"/>
        <bgColor rgb="FFEEEEEE"/>
      </patternFill>
    </fill>
  </fills>
  <borders count="49">
    <border diagonalUp="false" diagonalDown="false">
      <left/>
      <right/>
      <top/>
      <bottom/>
      <diagonal/>
    </border>
    <border diagonalUp="false" diagonalDown="false">
      <left style="hair">
        <color rgb="FF333333"/>
      </left>
      <right style="hair">
        <color rgb="FF333333"/>
      </right>
      <top style="hair">
        <color rgb="FF333333"/>
      </top>
      <bottom style="hair">
        <color rgb="FF333333"/>
      </bottom>
      <diagonal/>
    </border>
    <border diagonalUp="false" diagonalDown="false">
      <left style="hair">
        <color rgb="FF808080"/>
      </left>
      <right style="hair">
        <color rgb="FF808080"/>
      </right>
      <top style="hair">
        <color rgb="FF808080"/>
      </top>
      <bottom style="hair">
        <color rgb="FF808080"/>
      </bottom>
      <diagonal/>
    </border>
    <border diagonalUp="false" diagonalDown="false">
      <left/>
      <right/>
      <top style="hair">
        <color rgb="FF333399"/>
      </top>
      <bottom style="hair">
        <color rgb="FF333399"/>
      </bottom>
      <diagonal/>
    </border>
    <border diagonalUp="false" diagonalDown="false">
      <left/>
      <right/>
      <top/>
      <bottom style="hair">
        <color rgb="FFFF9900"/>
      </bottom>
      <diagonal/>
    </border>
    <border diagonalUp="false" diagonalDown="false">
      <left/>
      <right/>
      <top/>
      <bottom style="hair">
        <color rgb="FF0066CC"/>
      </bottom>
      <diagonal/>
    </border>
    <border diagonalUp="false" diagonalDown="false">
      <left style="thin"/>
      <right style="thin"/>
      <top style="thin"/>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right/>
      <top/>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hair"/>
      <right/>
      <top style="hair"/>
      <bottom/>
      <diagonal/>
    </border>
    <border diagonalUp="false" diagonalDown="false">
      <left/>
      <right/>
      <top style="hair"/>
      <bottom/>
      <diagonal/>
    </border>
    <border diagonalUp="false" diagonalDown="false">
      <left/>
      <right style="hair"/>
      <top style="hair"/>
      <bottom/>
      <diagonal/>
    </border>
    <border diagonalUp="false" diagonalDown="false">
      <left style="hair"/>
      <right/>
      <top/>
      <bottom/>
      <diagonal/>
    </border>
    <border diagonalUp="false" diagonalDown="false">
      <left/>
      <right style="hair"/>
      <top/>
      <bottom/>
      <diagonal/>
    </border>
    <border diagonalUp="false" diagonalDown="false">
      <left style="thin">
        <color rgb="FFBBE33D"/>
      </left>
      <right/>
      <top style="thin">
        <color rgb="FFBBE33D"/>
      </top>
      <bottom/>
      <diagonal/>
    </border>
    <border diagonalUp="false" diagonalDown="false">
      <left/>
      <right style="thin">
        <color rgb="FFBBE33D"/>
      </right>
      <top style="thin">
        <color rgb="FFBBE33D"/>
      </top>
      <bottom/>
      <diagonal/>
    </border>
    <border diagonalUp="false" diagonalDown="false">
      <left style="thin">
        <color rgb="FFBBE33D"/>
      </left>
      <right/>
      <top/>
      <bottom/>
      <diagonal/>
    </border>
    <border diagonalUp="false" diagonalDown="false">
      <left/>
      <right style="thin">
        <color rgb="FFBBE33D"/>
      </right>
      <top/>
      <bottom/>
      <diagonal/>
    </border>
    <border diagonalUp="false" diagonalDown="false">
      <left style="thin">
        <color rgb="FFBBE33D"/>
      </left>
      <right/>
      <top/>
      <bottom style="thin">
        <color rgb="FFBBE33D"/>
      </bottom>
      <diagonal/>
    </border>
    <border diagonalUp="false" diagonalDown="false">
      <left/>
      <right style="thin">
        <color rgb="FFBBE33D"/>
      </right>
      <top/>
      <bottom style="thin">
        <color rgb="FFBBE33D"/>
      </bottom>
      <diagonal/>
    </border>
    <border diagonalUp="false" diagonalDown="false">
      <left style="thin">
        <color rgb="FFBBE33D"/>
      </left>
      <right/>
      <top style="thin">
        <color rgb="FFBBE33D"/>
      </top>
      <bottom style="thin">
        <color rgb="FFBBE33D"/>
      </bottom>
      <diagonal/>
    </border>
    <border diagonalUp="false" diagonalDown="false">
      <left/>
      <right/>
      <top style="thin">
        <color rgb="FFBBE33D"/>
      </top>
      <bottom style="thin">
        <color rgb="FFBBE33D"/>
      </bottom>
      <diagonal/>
    </border>
    <border diagonalUp="false" diagonalDown="false">
      <left/>
      <right style="thin">
        <color rgb="FFBBE33D"/>
      </right>
      <top style="thin">
        <color rgb="FFBBE33D"/>
      </top>
      <bottom style="thin">
        <color rgb="FFBBE33D"/>
      </bottom>
      <diagonal/>
    </border>
    <border diagonalUp="false" diagonalDown="false">
      <left style="hair"/>
      <right/>
      <top/>
      <bottom style="hair"/>
      <diagonal/>
    </border>
    <border diagonalUp="false" diagonalDown="false">
      <left/>
      <right/>
      <top/>
      <bottom style="hair"/>
      <diagonal/>
    </border>
    <border diagonalUp="false" diagonalDown="false">
      <left/>
      <right style="hair"/>
      <top/>
      <bottom style="hair"/>
      <diagonal/>
    </border>
    <border diagonalUp="false" diagonalDown="false">
      <left style="dotted"/>
      <right/>
      <top/>
      <bottom/>
      <diagonal/>
    </border>
    <border diagonalUp="false" diagonalDown="false">
      <left/>
      <right style="dotted"/>
      <top/>
      <bottom/>
      <diagonal/>
    </border>
    <border diagonalUp="false" diagonalDown="false">
      <left style="dotted"/>
      <right style="dotted"/>
      <top/>
      <bottom/>
      <diagonal/>
    </border>
    <border diagonalUp="false" diagonalDown="false">
      <left style="dotted"/>
      <right/>
      <top/>
      <bottom style="thin"/>
      <diagonal/>
    </border>
    <border diagonalUp="false" diagonalDown="false">
      <left/>
      <right style="dotted"/>
      <top/>
      <bottom style="thin"/>
      <diagonal/>
    </border>
    <border diagonalUp="false" diagonalDown="false">
      <left style="dotted"/>
      <right style="dotted"/>
      <top/>
      <bottom style="thin"/>
      <diagonal/>
    </border>
    <border diagonalUp="false" diagonalDown="false">
      <left/>
      <right style="thin"/>
      <top style="thin"/>
      <bottom style="thin"/>
      <diagonal/>
    </border>
    <border diagonalUp="false" diagonalDown="false">
      <left/>
      <right/>
      <top/>
      <bottom style="dotted"/>
      <diagonal/>
    </border>
    <border diagonalUp="false" diagonalDown="false">
      <left/>
      <right/>
      <top style="dotted"/>
      <bottom/>
      <diagonal/>
    </border>
    <border diagonalUp="false" diagonalDown="false">
      <left/>
      <right style="thin"/>
      <top style="hair"/>
      <bottom/>
      <diagonal/>
    </border>
    <border diagonalUp="false" diagonalDown="false">
      <left/>
      <right style="thin"/>
      <top style="dotted"/>
      <bottom/>
      <diagonal/>
    </border>
    <border diagonalUp="false" diagonalDown="false">
      <left/>
      <right style="thin"/>
      <top/>
      <bottom style="hair"/>
      <diagonal/>
    </border>
    <border diagonalUp="false" diagonalDown="false">
      <left style="thin"/>
      <right style="thin"/>
      <top/>
      <bottom/>
      <diagonal/>
    </border>
    <border diagonalUp="false" diagonalDown="false">
      <left style="thin"/>
      <right/>
      <top/>
      <bottom style="hair"/>
      <diagonal/>
    </border>
    <border diagonalUp="false" diagonalDown="false">
      <left style="thin"/>
      <right/>
      <top style="dotted"/>
      <bottom/>
      <diagonal/>
    </border>
    <border diagonalUp="false" diagonalDown="false">
      <left/>
      <right style="thin"/>
      <top/>
      <bottom style="dotted"/>
      <diagonal/>
    </border>
    <border diagonalUp="false" diagonalDown="false">
      <left style="thin"/>
      <right/>
      <top/>
      <bottom style="dotted"/>
      <diagonal/>
    </border>
  </borders>
  <cellStyleXfs count="56">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5" fillId="12"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4" borderId="0" applyFont="true" applyBorder="false" applyAlignment="true" applyProtection="false">
      <alignment horizontal="general" vertical="bottom" textRotation="0" wrapText="false" indent="0" shrinkToFit="false"/>
    </xf>
    <xf numFmtId="164" fontId="5" fillId="15"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7"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4" borderId="0" applyFont="true" applyBorder="false" applyAlignment="true" applyProtection="false">
      <alignment horizontal="general" vertical="bottom" textRotation="0" wrapText="false" indent="0" shrinkToFit="false"/>
    </xf>
    <xf numFmtId="164" fontId="5" fillId="19" borderId="0" applyFont="true" applyBorder="false" applyAlignment="true" applyProtection="false">
      <alignment horizontal="general" vertical="bottom" textRotation="0" wrapText="false" indent="0" shrinkToFit="false"/>
    </xf>
    <xf numFmtId="164" fontId="6" fillId="20" borderId="1" applyFont="true" applyBorder="true" applyAlignment="true" applyProtection="false">
      <alignment horizontal="general" vertical="bottom" textRotation="0" wrapText="false" indent="0" shrinkToFit="false"/>
    </xf>
    <xf numFmtId="164" fontId="7" fillId="20" borderId="2" applyFont="true" applyBorder="true" applyAlignment="true" applyProtection="false">
      <alignment horizontal="general" vertical="bottom" textRotation="0" wrapText="false" indent="0" shrinkToFit="false"/>
    </xf>
    <xf numFmtId="164" fontId="8" fillId="7" borderId="2" applyFont="true" applyBorder="true" applyAlignment="true" applyProtection="false">
      <alignment horizontal="general" vertical="bottom" textRotation="0" wrapText="false" indent="0" shrinkToFit="false"/>
    </xf>
    <xf numFmtId="164" fontId="9" fillId="0" borderId="3" applyFont="true" applyBorder="true" applyAlignment="true" applyProtection="false">
      <alignment horizontal="general" vertical="bottom" textRotation="0" wrapText="false" indent="0" shrinkToFit="false"/>
    </xf>
    <xf numFmtId="165" fontId="10"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2" fillId="0" borderId="4" applyFont="true" applyBorder="true" applyAlignment="true" applyProtection="false">
      <alignment horizontal="general" vertical="bottom" textRotation="0" wrapText="false" indent="0" shrinkToFit="false"/>
    </xf>
    <xf numFmtId="164" fontId="13" fillId="0" borderId="0" applyFont="true" applyBorder="false" applyAlignment="true" applyProtection="false">
      <alignment horizontal="general" vertical="bottom" textRotation="0" wrapText="false" indent="0" shrinkToFit="false"/>
    </xf>
    <xf numFmtId="164" fontId="14" fillId="21" borderId="1" applyFont="true" applyBorder="true" applyAlignment="true" applyProtection="false">
      <alignment horizontal="general" vertical="bottom" textRotation="0" wrapText="false" indent="0" shrinkToFit="false"/>
    </xf>
    <xf numFmtId="164" fontId="15" fillId="0" borderId="5"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0" borderId="0" applyFont="true" applyBorder="false" applyAlignment="true" applyProtection="false">
      <alignment horizontal="general" vertical="bottom" textRotation="0" wrapText="false" indent="0" shrinkToFit="false"/>
    </xf>
  </cellStyleXfs>
  <cellXfs count="334">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22" borderId="0" xfId="0" applyFont="false" applyBorder="false" applyAlignment="false" applyProtection="false">
      <alignment horizontal="general" vertical="bottom" textRotation="0" wrapText="false" indent="0" shrinkToFit="false"/>
      <protection locked="true" hidden="false"/>
    </xf>
    <xf numFmtId="164" fontId="0" fillId="23" borderId="6" xfId="0" applyFont="true" applyBorder="true" applyAlignment="true" applyProtection="false">
      <alignment horizontal="left" vertical="top" textRotation="0" wrapText="true" indent="0" shrinkToFit="false"/>
      <protection locked="true" hidden="false"/>
    </xf>
    <xf numFmtId="164" fontId="0" fillId="22" borderId="0" xfId="0" applyFont="false" applyBorder="false" applyAlignment="true" applyProtection="false">
      <alignment horizontal="center" vertical="bottom" textRotation="0" wrapText="false" indent="0" shrinkToFit="false"/>
      <protection locked="true" hidden="false"/>
    </xf>
    <xf numFmtId="164" fontId="0" fillId="22" borderId="0" xfId="0" applyFont="false" applyBorder="false" applyAlignment="true" applyProtection="false">
      <alignment horizontal="left" vertical="bottom" textRotation="0" wrapText="true" indent="0" shrinkToFit="false"/>
      <protection locked="true" hidden="false"/>
    </xf>
    <xf numFmtId="164" fontId="0" fillId="23" borderId="7" xfId="0" applyFont="false" applyBorder="true" applyAlignment="false" applyProtection="false">
      <alignment horizontal="general" vertical="bottom" textRotation="0" wrapText="false" indent="0" shrinkToFit="false"/>
      <protection locked="true" hidden="false"/>
    </xf>
    <xf numFmtId="164" fontId="0" fillId="23" borderId="8" xfId="0" applyFont="false" applyBorder="true" applyAlignment="false" applyProtection="false">
      <alignment horizontal="general" vertical="bottom" textRotation="0" wrapText="false" indent="0" shrinkToFit="false"/>
      <protection locked="true" hidden="false"/>
    </xf>
    <xf numFmtId="164" fontId="0" fillId="23" borderId="8" xfId="0" applyFont="false" applyBorder="true" applyAlignment="true" applyProtection="false">
      <alignment horizontal="center" vertical="bottom" textRotation="0" wrapText="false" indent="0" shrinkToFit="false"/>
      <protection locked="true" hidden="false"/>
    </xf>
    <xf numFmtId="164" fontId="0" fillId="23" borderId="8" xfId="0" applyFont="false" applyBorder="true" applyAlignment="true" applyProtection="false">
      <alignment horizontal="left" vertical="bottom" textRotation="0" wrapText="true" indent="0" shrinkToFit="false"/>
      <protection locked="true" hidden="false"/>
    </xf>
    <xf numFmtId="164" fontId="0" fillId="23" borderId="9" xfId="0" applyFont="false" applyBorder="true" applyAlignment="false" applyProtection="false">
      <alignment horizontal="general" vertical="bottom" textRotation="0" wrapText="false" indent="0" shrinkToFit="false"/>
      <protection locked="true" hidden="false"/>
    </xf>
    <xf numFmtId="164" fontId="17" fillId="22" borderId="0" xfId="0" applyFont="true" applyBorder="false" applyAlignment="true" applyProtection="false">
      <alignment horizontal="general" vertical="bottom" textRotation="0" wrapText="true" indent="0" shrinkToFit="false"/>
      <protection locked="true" hidden="false"/>
    </xf>
    <xf numFmtId="164" fontId="17" fillId="23" borderId="10" xfId="0" applyFont="true" applyBorder="true" applyAlignment="true" applyProtection="false">
      <alignment horizontal="general" vertical="bottom" textRotation="0" wrapText="true" indent="0" shrinkToFit="false"/>
      <protection locked="true" hidden="false"/>
    </xf>
    <xf numFmtId="164" fontId="17" fillId="23" borderId="0" xfId="0" applyFont="true" applyBorder="false" applyAlignment="true" applyProtection="false">
      <alignment horizontal="general" vertical="bottom" textRotation="0" wrapText="true" indent="0" shrinkToFit="false"/>
      <protection locked="true" hidden="false"/>
    </xf>
    <xf numFmtId="164" fontId="17" fillId="23" borderId="0" xfId="0" applyFont="true" applyBorder="false" applyAlignment="true" applyProtection="false">
      <alignment horizontal="center" vertical="bottom" textRotation="0" wrapText="true" indent="0" shrinkToFit="false"/>
      <protection locked="true" hidden="false"/>
    </xf>
    <xf numFmtId="164" fontId="17" fillId="23" borderId="0" xfId="0" applyFont="true" applyBorder="false" applyAlignment="true" applyProtection="false">
      <alignment horizontal="left" vertical="bottom" textRotation="0" wrapText="true" indent="0" shrinkToFit="false"/>
      <protection locked="true" hidden="false"/>
    </xf>
    <xf numFmtId="164" fontId="17" fillId="23" borderId="0" xfId="0" applyFont="true" applyBorder="true" applyAlignment="true" applyProtection="false">
      <alignment horizontal="center" vertical="bottom" textRotation="0" wrapText="true" indent="0" shrinkToFit="false"/>
      <protection locked="true" hidden="false"/>
    </xf>
    <xf numFmtId="164" fontId="17" fillId="23" borderId="11" xfId="0" applyFont="true" applyBorder="true" applyAlignment="true" applyProtection="false">
      <alignment horizontal="general"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17" fillId="22" borderId="0" xfId="0" applyFont="true" applyBorder="false" applyAlignment="false" applyProtection="false">
      <alignment horizontal="general" vertical="bottom" textRotation="0" wrapText="false" indent="0" shrinkToFit="false"/>
      <protection locked="true" hidden="false"/>
    </xf>
    <xf numFmtId="164" fontId="17" fillId="23" borderId="10" xfId="0" applyFont="true" applyBorder="true" applyAlignment="false" applyProtection="false">
      <alignment horizontal="general" vertical="bottom" textRotation="0" wrapText="false" indent="0" shrinkToFit="false"/>
      <protection locked="true" hidden="false"/>
    </xf>
    <xf numFmtId="164" fontId="17" fillId="23" borderId="12" xfId="0" applyFont="true" applyBorder="true" applyAlignment="true" applyProtection="false">
      <alignment horizontal="general" vertical="bottom" textRotation="0" wrapText="false" indent="0" shrinkToFit="false"/>
      <protection locked="true" hidden="false"/>
    </xf>
    <xf numFmtId="164" fontId="17" fillId="23" borderId="12" xfId="0" applyFont="true" applyBorder="true" applyAlignment="true" applyProtection="false">
      <alignment horizontal="center" vertical="bottom" textRotation="0" wrapText="false" indent="0" shrinkToFit="false"/>
      <protection locked="true" hidden="false"/>
    </xf>
    <xf numFmtId="164" fontId="17" fillId="23" borderId="12" xfId="0" applyFont="true" applyBorder="true" applyAlignment="true" applyProtection="false">
      <alignment horizontal="left" vertical="bottom" textRotation="0" wrapText="true" indent="0" shrinkToFit="false"/>
      <protection locked="true" hidden="false"/>
    </xf>
    <xf numFmtId="164" fontId="17" fillId="23" borderId="11" xfId="0" applyFont="true" applyBorder="true" applyAlignment="false" applyProtection="false">
      <alignment horizontal="general" vertical="bottom" textRotation="0" wrapText="false" indent="0" shrinkToFit="false"/>
      <protection locked="true" hidden="false"/>
    </xf>
    <xf numFmtId="164" fontId="0" fillId="23" borderId="10" xfId="0" applyFont="false" applyBorder="true" applyAlignment="false" applyProtection="false">
      <alignment horizontal="general" vertical="bottom" textRotation="0" wrapText="false" indent="0" shrinkToFit="false"/>
      <protection locked="true" hidden="false"/>
    </xf>
    <xf numFmtId="164" fontId="0" fillId="23" borderId="0" xfId="0" applyFont="true" applyBorder="false" applyAlignment="true" applyProtection="false">
      <alignment horizontal="general" vertical="top" textRotation="0" wrapText="false" indent="0" shrinkToFit="false"/>
      <protection locked="true" hidden="false"/>
    </xf>
    <xf numFmtId="164" fontId="0" fillId="23" borderId="0" xfId="0" applyFont="true" applyBorder="false" applyAlignment="true" applyProtection="false">
      <alignment horizontal="left" vertical="top" textRotation="0" wrapText="false" indent="0" shrinkToFit="false"/>
      <protection locked="true" hidden="false"/>
    </xf>
    <xf numFmtId="164" fontId="0" fillId="23" borderId="0" xfId="0" applyFont="false" applyBorder="false" applyAlignment="true" applyProtection="false">
      <alignment horizontal="left" vertical="top" textRotation="0" wrapText="true" indent="0" shrinkToFit="false"/>
      <protection locked="true" hidden="false"/>
    </xf>
    <xf numFmtId="164" fontId="0" fillId="23" borderId="0" xfId="0" applyFont="false" applyBorder="false" applyAlignment="true" applyProtection="false">
      <alignment horizontal="center" vertical="top" textRotation="0" wrapText="false" indent="0" shrinkToFit="false"/>
      <protection locked="true" hidden="false"/>
    </xf>
    <xf numFmtId="164" fontId="0" fillId="23" borderId="0" xfId="0" applyFont="false" applyBorder="false" applyAlignment="true" applyProtection="false">
      <alignment horizontal="right" vertical="top" textRotation="0" wrapText="false" indent="0" shrinkToFit="false"/>
      <protection locked="true" hidden="false"/>
    </xf>
    <xf numFmtId="164" fontId="18" fillId="23" borderId="0" xfId="0" applyFont="true" applyBorder="false" applyAlignment="true" applyProtection="false">
      <alignment horizontal="center" vertical="top" textRotation="0" wrapText="false" indent="0" shrinkToFit="false"/>
      <protection locked="true" hidden="false"/>
    </xf>
    <xf numFmtId="164" fontId="19" fillId="23" borderId="0" xfId="0" applyFont="true" applyBorder="false" applyAlignment="true" applyProtection="false">
      <alignment horizontal="right" vertical="top" textRotation="0" wrapText="false" indent="0" shrinkToFit="false"/>
      <protection locked="true" hidden="false"/>
    </xf>
    <xf numFmtId="164" fontId="19" fillId="23" borderId="0" xfId="0" applyFont="true" applyBorder="false" applyAlignment="true" applyProtection="false">
      <alignment horizontal="left" vertical="top" textRotation="0" wrapText="false" indent="0" shrinkToFit="false"/>
      <protection locked="true" hidden="false"/>
    </xf>
    <xf numFmtId="164" fontId="0" fillId="23" borderId="11" xfId="0" applyFont="false" applyBorder="true" applyAlignment="false" applyProtection="false">
      <alignment horizontal="general" vertical="bottom" textRotation="0" wrapText="false" indent="0" shrinkToFit="false"/>
      <protection locked="true" hidden="false"/>
    </xf>
    <xf numFmtId="164" fontId="0" fillId="23" borderId="0" xfId="0" applyFont="true" applyBorder="false" applyAlignment="true" applyProtection="false">
      <alignment horizontal="left" vertical="top" textRotation="0" wrapText="true" indent="0" shrinkToFit="false"/>
      <protection locked="true" hidden="false"/>
    </xf>
    <xf numFmtId="166" fontId="0" fillId="23" borderId="0" xfId="0" applyFont="false" applyBorder="false" applyAlignment="true" applyProtection="false">
      <alignment horizontal="center" vertical="top" textRotation="0" wrapText="false" indent="0" shrinkToFit="false"/>
      <protection locked="true" hidden="false"/>
    </xf>
    <xf numFmtId="164" fontId="0" fillId="23" borderId="13" xfId="0" applyFont="false" applyBorder="true" applyAlignment="false" applyProtection="false">
      <alignment horizontal="general" vertical="bottom" textRotation="0" wrapText="false" indent="0" shrinkToFit="false"/>
      <protection locked="true" hidden="false"/>
    </xf>
    <xf numFmtId="164" fontId="0" fillId="23" borderId="12" xfId="0" applyFont="false" applyBorder="true" applyAlignment="false" applyProtection="false">
      <alignment horizontal="general" vertical="bottom" textRotation="0" wrapText="false" indent="0" shrinkToFit="false"/>
      <protection locked="true" hidden="false"/>
    </xf>
    <xf numFmtId="164" fontId="0" fillId="23" borderId="12" xfId="0" applyFont="false" applyBorder="true" applyAlignment="true" applyProtection="false">
      <alignment horizontal="center" vertical="bottom" textRotation="0" wrapText="false" indent="0" shrinkToFit="false"/>
      <protection locked="true" hidden="false"/>
    </xf>
    <xf numFmtId="164" fontId="0" fillId="23" borderId="12" xfId="0" applyFont="false" applyBorder="true" applyAlignment="true" applyProtection="false">
      <alignment horizontal="left" vertical="bottom" textRotation="0" wrapText="true" indent="0" shrinkToFit="false"/>
      <protection locked="true" hidden="false"/>
    </xf>
    <xf numFmtId="164" fontId="0" fillId="23" borderId="14" xfId="0" applyFont="false" applyBorder="true" applyAlignment="false" applyProtection="false">
      <alignment horizontal="general" vertical="bottom" textRotation="0" wrapText="false" indent="0" shrinkToFit="false"/>
      <protection locked="true" hidden="false"/>
    </xf>
    <xf numFmtId="164" fontId="0" fillId="22" borderId="0" xfId="0" applyFont="true" applyBorder="false" applyAlignment="false" applyProtection="false">
      <alignment horizontal="general" vertical="bottom" textRotation="0" wrapText="false" indent="0" shrinkToFit="false"/>
      <protection locked="true" hidden="false"/>
    </xf>
    <xf numFmtId="164" fontId="0" fillId="23" borderId="15" xfId="0" applyFont="true" applyBorder="true" applyAlignment="false" applyProtection="false">
      <alignment horizontal="general" vertical="bottom" textRotation="0" wrapText="false" indent="0" shrinkToFit="false"/>
      <protection locked="true" hidden="false"/>
    </xf>
    <xf numFmtId="164" fontId="0" fillId="23" borderId="16" xfId="0" applyFont="true" applyBorder="true" applyAlignment="false" applyProtection="false">
      <alignment horizontal="general" vertical="bottom" textRotation="0" wrapText="false" indent="0" shrinkToFit="false"/>
      <protection locked="true" hidden="false"/>
    </xf>
    <xf numFmtId="164" fontId="0" fillId="23" borderId="17" xfId="0" applyFont="true" applyBorder="true" applyAlignment="false" applyProtection="false">
      <alignment horizontal="general" vertical="bottom" textRotation="0" wrapText="false" indent="0" shrinkToFit="false"/>
      <protection locked="true" hidden="false"/>
    </xf>
    <xf numFmtId="164" fontId="17" fillId="23" borderId="16" xfId="0" applyFont="true" applyBorder="true" applyAlignment="true" applyProtection="false">
      <alignment horizontal="center" vertical="center" textRotation="0" wrapText="false" indent="0" shrinkToFit="false"/>
      <protection locked="true" hidden="false"/>
    </xf>
    <xf numFmtId="164" fontId="0" fillId="23" borderId="18" xfId="0" applyFont="true" applyBorder="true" applyAlignment="false" applyProtection="false">
      <alignment horizontal="general" vertical="bottom" textRotation="0" wrapText="false" indent="0" shrinkToFit="false"/>
      <protection locked="true" hidden="false"/>
    </xf>
    <xf numFmtId="164" fontId="20" fillId="23" borderId="0" xfId="0" applyFont="true" applyBorder="true" applyAlignment="true" applyProtection="false">
      <alignment horizontal="left" vertical="center" textRotation="0" wrapText="false" indent="0" shrinkToFit="false"/>
      <protection locked="true" hidden="false"/>
    </xf>
    <xf numFmtId="164" fontId="0" fillId="23" borderId="19" xfId="0" applyFont="true" applyBorder="true" applyAlignment="false" applyProtection="false">
      <alignment horizontal="general" vertical="bottom" textRotation="0" wrapText="false" indent="0" shrinkToFit="false"/>
      <protection locked="true" hidden="false"/>
    </xf>
    <xf numFmtId="164" fontId="21" fillId="23" borderId="0" xfId="0" applyFont="true" applyBorder="false" applyAlignment="false" applyProtection="false">
      <alignment horizontal="general" vertical="bottom" textRotation="0" wrapText="false" indent="0" shrinkToFit="false"/>
      <protection locked="true" hidden="false"/>
    </xf>
    <xf numFmtId="164" fontId="0" fillId="23" borderId="0" xfId="0" applyFont="true" applyBorder="false" applyAlignment="false" applyProtection="false">
      <alignment horizontal="general" vertical="bottom" textRotation="0" wrapText="false" indent="0" shrinkToFit="false"/>
      <protection locked="true" hidden="false"/>
    </xf>
    <xf numFmtId="164" fontId="17" fillId="23" borderId="0" xfId="0" applyFont="true" applyBorder="false" applyAlignment="true" applyProtection="false">
      <alignment horizontal="center" vertical="center" textRotation="0" wrapText="false" indent="0" shrinkToFit="false"/>
      <protection locked="true" hidden="false"/>
    </xf>
    <xf numFmtId="164" fontId="0" fillId="23" borderId="0" xfId="0" applyFont="true" applyBorder="true" applyAlignment="false" applyProtection="false">
      <alignment horizontal="general" vertical="bottom" textRotation="0" wrapText="false" indent="0" shrinkToFit="false"/>
      <protection locked="true" hidden="false"/>
    </xf>
    <xf numFmtId="164" fontId="20" fillId="23" borderId="0" xfId="0" applyFont="true" applyBorder="false" applyAlignment="true" applyProtection="false">
      <alignment horizontal="left" vertical="center" textRotation="0" wrapText="false" indent="0" shrinkToFit="false"/>
      <protection locked="true" hidden="false"/>
    </xf>
    <xf numFmtId="164" fontId="17" fillId="23" borderId="0" xfId="0" applyFont="true" applyBorder="false" applyAlignment="true" applyProtection="false">
      <alignment horizontal="center" vertical="bottom" textRotation="0" wrapText="false" indent="0" shrinkToFit="false"/>
      <protection locked="true" hidden="false"/>
    </xf>
    <xf numFmtId="164" fontId="0" fillId="23" borderId="0" xfId="0" applyFont="true" applyBorder="true" applyAlignment="true" applyProtection="false">
      <alignment horizontal="left" vertical="top" textRotation="0" wrapText="true" indent="0" shrinkToFit="false"/>
      <protection locked="true" hidden="false"/>
    </xf>
    <xf numFmtId="164" fontId="0" fillId="23" borderId="0" xfId="0" applyFont="false" applyBorder="false" applyAlignment="false" applyProtection="false">
      <alignment horizontal="general" vertical="bottom" textRotation="0" wrapText="false" indent="0" shrinkToFit="false"/>
      <protection locked="true" hidden="false"/>
    </xf>
    <xf numFmtId="164" fontId="23" fillId="23" borderId="0" xfId="0" applyFont="true" applyBorder="false" applyAlignment="true" applyProtection="false">
      <alignment horizontal="center" vertical="bottom" textRotation="0" wrapText="false" indent="0" shrinkToFit="false"/>
      <protection locked="true" hidden="false"/>
    </xf>
    <xf numFmtId="164" fontId="24" fillId="23" borderId="0" xfId="0" applyFont="true" applyBorder="false" applyAlignment="false" applyProtection="false">
      <alignment horizontal="general" vertical="bottom" textRotation="0" wrapText="false" indent="0" shrinkToFit="false"/>
      <protection locked="true" hidden="false"/>
    </xf>
    <xf numFmtId="164" fontId="0" fillId="23" borderId="16" xfId="0" applyFont="true" applyBorder="true" applyAlignment="true" applyProtection="false">
      <alignment horizontal="center" vertical="bottom" textRotation="0" wrapText="false" indent="0" shrinkToFit="false"/>
      <protection locked="true" hidden="false"/>
    </xf>
    <xf numFmtId="167" fontId="0" fillId="23" borderId="16" xfId="0" applyFont="true" applyBorder="true" applyAlignment="true" applyProtection="false">
      <alignment horizontal="center" vertical="bottom" textRotation="0" wrapText="false" indent="0" shrinkToFit="false"/>
      <protection locked="true" hidden="false"/>
    </xf>
    <xf numFmtId="164" fontId="25" fillId="23" borderId="0" xfId="0" applyFont="true" applyBorder="false" applyAlignment="false" applyProtection="false">
      <alignment horizontal="general" vertical="bottom" textRotation="0" wrapText="false" indent="0" shrinkToFit="false"/>
      <protection locked="true" hidden="false"/>
    </xf>
    <xf numFmtId="164" fontId="26" fillId="23" borderId="0" xfId="0" applyFont="true" applyBorder="false" applyAlignment="false" applyProtection="false">
      <alignment horizontal="general" vertical="bottom" textRotation="0" wrapText="false" indent="0" shrinkToFit="false"/>
      <protection locked="true" hidden="false"/>
    </xf>
    <xf numFmtId="164" fontId="27" fillId="23" borderId="0" xfId="0" applyFont="true" applyBorder="false" applyAlignment="true" applyProtection="false">
      <alignment horizontal="center" vertical="center" textRotation="0" wrapText="false" indent="0" shrinkToFit="false"/>
      <protection locked="true" hidden="false"/>
    </xf>
    <xf numFmtId="164" fontId="0" fillId="23" borderId="0" xfId="0" applyFont="true" applyBorder="false" applyAlignment="true" applyProtection="false">
      <alignment horizontal="center" vertical="bottom" textRotation="0" wrapText="false" indent="0" shrinkToFit="false"/>
      <protection locked="true" hidden="false"/>
    </xf>
    <xf numFmtId="167" fontId="0" fillId="23" borderId="0" xfId="0" applyFont="true" applyBorder="false" applyAlignment="true" applyProtection="false">
      <alignment horizontal="center" vertical="bottom" textRotation="0" wrapText="false" indent="0" shrinkToFit="false"/>
      <protection locked="true" hidden="false"/>
    </xf>
    <xf numFmtId="164" fontId="0" fillId="23" borderId="0" xfId="0" applyFont="true" applyBorder="true" applyAlignment="true" applyProtection="false">
      <alignment horizontal="general" vertical="top" textRotation="0" wrapText="true" indent="0" shrinkToFit="false"/>
      <protection locked="true" hidden="false"/>
    </xf>
    <xf numFmtId="164" fontId="0" fillId="23" borderId="20" xfId="0" applyFont="true" applyBorder="true" applyAlignment="true" applyProtection="false">
      <alignment horizontal="center" vertical="bottom" textRotation="0" wrapText="false" indent="0" shrinkToFit="false"/>
      <protection locked="true" hidden="false"/>
    </xf>
    <xf numFmtId="167" fontId="0" fillId="23" borderId="21" xfId="0" applyFont="true" applyBorder="true" applyAlignment="true" applyProtection="false">
      <alignment horizontal="center" vertical="bottom" textRotation="0" wrapText="false" indent="0" shrinkToFit="false"/>
      <protection locked="true" hidden="false"/>
    </xf>
    <xf numFmtId="164" fontId="30" fillId="23" borderId="0" xfId="0" applyFont="true" applyBorder="false" applyAlignment="false" applyProtection="false">
      <alignment horizontal="general" vertical="bottom" textRotation="0" wrapText="false" indent="0" shrinkToFit="false"/>
      <protection locked="true" hidden="false"/>
    </xf>
    <xf numFmtId="164" fontId="0" fillId="23" borderId="22" xfId="0" applyFont="true" applyBorder="true" applyAlignment="true" applyProtection="false">
      <alignment horizontal="center" vertical="bottom" textRotation="0" wrapText="false" indent="0" shrinkToFit="false"/>
      <protection locked="true" hidden="false"/>
    </xf>
    <xf numFmtId="167" fontId="0" fillId="23" borderId="23" xfId="0" applyFont="true" applyBorder="true" applyAlignment="true" applyProtection="false">
      <alignment horizontal="center" vertical="bottom" textRotation="0" wrapText="false" indent="0" shrinkToFit="false"/>
      <protection locked="true" hidden="false"/>
    </xf>
    <xf numFmtId="164" fontId="0" fillId="23" borderId="24" xfId="0" applyFont="true" applyBorder="true" applyAlignment="true" applyProtection="false">
      <alignment horizontal="center" vertical="bottom" textRotation="0" wrapText="false" indent="0" shrinkToFit="false"/>
      <protection locked="true" hidden="false"/>
    </xf>
    <xf numFmtId="167" fontId="0" fillId="23" borderId="25" xfId="0" applyFont="true" applyBorder="true" applyAlignment="true" applyProtection="false">
      <alignment horizontal="center" vertical="bottom" textRotation="0" wrapText="false" indent="0" shrinkToFit="false"/>
      <protection locked="true" hidden="false"/>
    </xf>
    <xf numFmtId="164" fontId="27" fillId="23" borderId="0" xfId="0" applyFont="true" applyBorder="true" applyAlignment="false" applyProtection="false">
      <alignment horizontal="general" vertical="bottom" textRotation="0" wrapText="false" indent="0" shrinkToFit="false"/>
      <protection locked="true" hidden="false"/>
    </xf>
    <xf numFmtId="164" fontId="26" fillId="23" borderId="0" xfId="0" applyFont="true" applyBorder="true" applyAlignment="false" applyProtection="false">
      <alignment horizontal="general" vertical="bottom" textRotation="0" wrapText="false" indent="0" shrinkToFit="false"/>
      <protection locked="true" hidden="false"/>
    </xf>
    <xf numFmtId="167" fontId="26" fillId="23" borderId="0" xfId="0" applyFont="true" applyBorder="true" applyAlignment="false" applyProtection="false">
      <alignment horizontal="general" vertical="bottom" textRotation="0" wrapText="false" indent="0" shrinkToFit="false"/>
      <protection locked="true" hidden="false"/>
    </xf>
    <xf numFmtId="164" fontId="20" fillId="23" borderId="0" xfId="0" applyFont="true" applyBorder="false" applyAlignment="false" applyProtection="false">
      <alignment horizontal="general" vertical="bottom" textRotation="0" wrapText="false" indent="0" shrinkToFit="false"/>
      <protection locked="true" hidden="false"/>
    </xf>
    <xf numFmtId="164" fontId="17" fillId="23" borderId="0" xfId="0" applyFont="true" applyBorder="true" applyAlignment="true" applyProtection="false">
      <alignment horizontal="center" vertical="center" textRotation="0" wrapText="false" indent="0" shrinkToFit="false"/>
      <protection locked="true" hidden="false"/>
    </xf>
    <xf numFmtId="164" fontId="31" fillId="23" borderId="0" xfId="0" applyFont="true" applyBorder="true" applyAlignment="true" applyProtection="false">
      <alignment horizontal="left" vertical="top" textRotation="0" wrapText="true" indent="0" shrinkToFit="false"/>
      <protection locked="true" hidden="false"/>
    </xf>
    <xf numFmtId="164" fontId="0" fillId="23" borderId="11" xfId="0" applyFont="true" applyBorder="true" applyAlignment="false" applyProtection="false">
      <alignment horizontal="general" vertical="bottom" textRotation="0" wrapText="false" indent="0" shrinkToFit="false"/>
      <protection locked="true" hidden="false"/>
    </xf>
    <xf numFmtId="164" fontId="23" fillId="23" borderId="0" xfId="0" applyFont="true" applyBorder="false" applyAlignment="false" applyProtection="false">
      <alignment horizontal="general" vertical="bottom" textRotation="0" wrapText="false" indent="0" shrinkToFit="false"/>
      <protection locked="true" hidden="false"/>
    </xf>
    <xf numFmtId="168" fontId="23" fillId="23" borderId="0" xfId="0" applyFont="true" applyBorder="false" applyAlignment="true" applyProtection="false">
      <alignment horizontal="left" vertical="bottom" textRotation="0" wrapText="false" indent="0" shrinkToFit="false"/>
      <protection locked="true" hidden="false"/>
    </xf>
    <xf numFmtId="164" fontId="17" fillId="23" borderId="0" xfId="0" applyFont="true" applyBorder="false" applyAlignment="false" applyProtection="false">
      <alignment horizontal="general" vertical="bottom" textRotation="0" wrapText="false" indent="0" shrinkToFit="false"/>
      <protection locked="true" hidden="false"/>
    </xf>
    <xf numFmtId="164" fontId="0" fillId="24" borderId="0" xfId="0" applyFont="true" applyBorder="false" applyAlignment="false" applyProtection="false">
      <alignment horizontal="general" vertical="bottom" textRotation="0" wrapText="false" indent="0" shrinkToFit="false"/>
      <protection locked="true" hidden="false"/>
    </xf>
    <xf numFmtId="164" fontId="17" fillId="23" borderId="26" xfId="0" applyFont="true" applyBorder="true" applyAlignment="true" applyProtection="false">
      <alignment horizontal="right" vertical="bottom" textRotation="0" wrapText="false" indent="0" shrinkToFit="false"/>
      <protection locked="true" hidden="false"/>
    </xf>
    <xf numFmtId="164" fontId="17" fillId="23" borderId="27" xfId="0" applyFont="true" applyBorder="true" applyAlignment="true" applyProtection="false">
      <alignment horizontal="left" vertical="bottom" textRotation="0" wrapText="false" indent="0" shrinkToFit="false"/>
      <protection locked="true" hidden="false"/>
    </xf>
    <xf numFmtId="169" fontId="17" fillId="23" borderId="28" xfId="0" applyFont="true" applyBorder="true" applyAlignment="true" applyProtection="false">
      <alignment horizontal="left" vertical="bottom" textRotation="0" wrapText="false" indent="0" shrinkToFit="false"/>
      <protection locked="true" hidden="false"/>
    </xf>
    <xf numFmtId="164" fontId="0" fillId="23" borderId="29" xfId="0" applyFont="true" applyBorder="true" applyAlignment="false" applyProtection="false">
      <alignment horizontal="general" vertical="bottom" textRotation="0" wrapText="false" indent="0" shrinkToFit="false"/>
      <protection locked="true" hidden="false"/>
    </xf>
    <xf numFmtId="164" fontId="0" fillId="23" borderId="30" xfId="0" applyFont="true" applyBorder="true" applyAlignment="false" applyProtection="false">
      <alignment horizontal="general" vertical="bottom" textRotation="0" wrapText="false" indent="0" shrinkToFit="false"/>
      <protection locked="true" hidden="false"/>
    </xf>
    <xf numFmtId="164" fontId="0" fillId="23" borderId="31" xfId="0" applyFont="true" applyBorder="true" applyAlignment="false" applyProtection="false">
      <alignment horizontal="general" vertical="bottom" textRotation="0" wrapText="false" indent="0" shrinkToFit="false"/>
      <protection locked="true" hidden="false"/>
    </xf>
    <xf numFmtId="164" fontId="32" fillId="23" borderId="0" xfId="0" applyFont="true" applyBorder="false" applyAlignment="false" applyProtection="false">
      <alignment horizontal="general" vertical="bottom" textRotation="0" wrapText="false" indent="0" shrinkToFit="false"/>
      <protection locked="true" hidden="false"/>
    </xf>
    <xf numFmtId="170" fontId="0" fillId="23" borderId="0" xfId="0" applyFont="true" applyBorder="false" applyAlignment="false" applyProtection="false">
      <alignment horizontal="general" vertical="bottom" textRotation="0" wrapText="false" indent="0" shrinkToFit="false"/>
      <protection locked="true" hidden="false"/>
    </xf>
    <xf numFmtId="167" fontId="17" fillId="23" borderId="0" xfId="0" applyFont="true" applyBorder="false" applyAlignment="false" applyProtection="false">
      <alignment horizontal="general" vertical="bottom" textRotation="0" wrapText="false" indent="0" shrinkToFit="false"/>
      <protection locked="true" hidden="false"/>
    </xf>
    <xf numFmtId="167" fontId="0" fillId="23" borderId="0" xfId="0" applyFont="true" applyBorder="false" applyAlignment="false" applyProtection="false">
      <alignment horizontal="general" vertical="bottom" textRotation="0" wrapText="false" indent="0" shrinkToFit="false"/>
      <protection locked="true" hidden="false"/>
    </xf>
    <xf numFmtId="164" fontId="17" fillId="23" borderId="7" xfId="0" applyFont="true" applyBorder="true" applyAlignment="false" applyProtection="false">
      <alignment horizontal="general" vertical="bottom" textRotation="0" wrapText="false" indent="0" shrinkToFit="false"/>
      <protection locked="true" hidden="false"/>
    </xf>
    <xf numFmtId="164" fontId="0" fillId="23" borderId="8" xfId="0" applyFont="true" applyBorder="true" applyAlignment="false" applyProtection="false">
      <alignment horizontal="general" vertical="bottom" textRotation="0" wrapText="false" indent="0" shrinkToFit="false"/>
      <protection locked="true" hidden="false"/>
    </xf>
    <xf numFmtId="167" fontId="0" fillId="23" borderId="9" xfId="0" applyFont="true" applyBorder="true" applyAlignment="false" applyProtection="false">
      <alignment horizontal="general" vertical="bottom" textRotation="0" wrapText="false" indent="0" shrinkToFit="false"/>
      <protection locked="true" hidden="false"/>
    </xf>
    <xf numFmtId="164" fontId="17" fillId="23" borderId="13" xfId="0" applyFont="true" applyBorder="true" applyAlignment="false" applyProtection="false">
      <alignment horizontal="general" vertical="bottom" textRotation="0" wrapText="false" indent="0" shrinkToFit="false"/>
      <protection locked="true" hidden="false"/>
    </xf>
    <xf numFmtId="164" fontId="0" fillId="23" borderId="12" xfId="0" applyFont="true" applyBorder="true" applyAlignment="false" applyProtection="false">
      <alignment horizontal="general" vertical="bottom" textRotation="0" wrapText="false" indent="0" shrinkToFit="false"/>
      <protection locked="true" hidden="false"/>
    </xf>
    <xf numFmtId="167" fontId="0" fillId="23" borderId="14" xfId="0" applyFont="true" applyBorder="true" applyAlignment="false" applyProtection="false">
      <alignment horizontal="general" vertical="bottom" textRotation="0" wrapText="false" indent="0" shrinkToFit="false"/>
      <protection locked="true" hidden="false"/>
    </xf>
    <xf numFmtId="166" fontId="0" fillId="23" borderId="0" xfId="0" applyFont="true" applyBorder="false" applyAlignment="false" applyProtection="false">
      <alignment horizontal="general" vertical="bottom" textRotation="0" wrapText="false" indent="0" shrinkToFit="false"/>
      <protection locked="true" hidden="false"/>
    </xf>
    <xf numFmtId="171" fontId="0" fillId="23" borderId="0" xfId="0" applyFont="true" applyBorder="false" applyAlignment="false" applyProtection="false">
      <alignment horizontal="general" vertical="bottom" textRotation="0" wrapText="false" indent="0" shrinkToFit="false"/>
      <protection locked="true" hidden="false"/>
    </xf>
    <xf numFmtId="166" fontId="17" fillId="23" borderId="26" xfId="0" applyFont="true" applyBorder="true" applyAlignment="true" applyProtection="false">
      <alignment horizontal="right" vertical="bottom" textRotation="0" wrapText="false" indent="0" shrinkToFit="false"/>
      <protection locked="true" hidden="false"/>
    </xf>
    <xf numFmtId="166" fontId="17" fillId="23" borderId="28" xfId="0" applyFont="true" applyBorder="true" applyAlignment="false" applyProtection="false">
      <alignment horizontal="general" vertical="bottom" textRotation="0" wrapText="false" indent="0" shrinkToFit="false"/>
      <protection locked="true" hidden="false"/>
    </xf>
    <xf numFmtId="164" fontId="23" fillId="23" borderId="0" xfId="0" applyFont="true" applyBorder="true" applyAlignment="true" applyProtection="false">
      <alignment horizontal="left" vertical="center" textRotation="0" wrapText="false" indent="0" shrinkToFit="false"/>
      <protection locked="true" hidden="false"/>
    </xf>
    <xf numFmtId="164" fontId="17" fillId="23" borderId="0" xfId="0" applyFont="true" applyBorder="false" applyAlignment="true" applyProtection="false">
      <alignment horizontal="right" vertical="bottom" textRotation="0" wrapText="false" indent="0" shrinkToFit="false"/>
      <protection locked="true" hidden="false"/>
    </xf>
    <xf numFmtId="166" fontId="17" fillId="23" borderId="0" xfId="0" applyFont="true" applyBorder="false" applyAlignment="false" applyProtection="false">
      <alignment horizontal="general" vertical="bottom" textRotation="0" wrapText="false" indent="0" shrinkToFit="false"/>
      <protection locked="true" hidden="false"/>
    </xf>
    <xf numFmtId="171" fontId="0" fillId="22" borderId="0" xfId="0" applyFont="false" applyBorder="false" applyAlignment="true" applyProtection="false">
      <alignment horizontal="center" vertical="bottom" textRotation="0" wrapText="false" indent="0" shrinkToFit="false"/>
      <protection locked="true" hidden="false"/>
    </xf>
    <xf numFmtId="171" fontId="0" fillId="23" borderId="8" xfId="0" applyFont="false" applyBorder="true" applyAlignment="true" applyProtection="false">
      <alignment horizontal="center" vertical="bottom" textRotation="0" wrapText="false" indent="0" shrinkToFit="false"/>
      <protection locked="true" hidden="false"/>
    </xf>
    <xf numFmtId="171" fontId="17" fillId="23" borderId="0" xfId="0" applyFont="true" applyBorder="false" applyAlignment="true" applyProtection="false">
      <alignment horizontal="center" vertical="bottom" textRotation="0" wrapText="true" indent="0" shrinkToFit="false"/>
      <protection locked="true" hidden="false"/>
    </xf>
    <xf numFmtId="171" fontId="17" fillId="23" borderId="32" xfId="0" applyFont="true" applyBorder="true" applyAlignment="true" applyProtection="false">
      <alignment horizontal="center" vertical="bottom" textRotation="0" wrapText="true" indent="0" shrinkToFit="false"/>
      <protection locked="true" hidden="false"/>
    </xf>
    <xf numFmtId="171" fontId="17" fillId="23" borderId="33" xfId="0" applyFont="true" applyBorder="true" applyAlignment="true" applyProtection="false">
      <alignment horizontal="center" vertical="bottom" textRotation="0" wrapText="true" indent="0" shrinkToFit="false"/>
      <protection locked="true" hidden="false"/>
    </xf>
    <xf numFmtId="171" fontId="17" fillId="23" borderId="34" xfId="0" applyFont="true" applyBorder="true" applyAlignment="true" applyProtection="false">
      <alignment horizontal="center" vertical="bottom" textRotation="0" wrapText="true" indent="0" shrinkToFit="false"/>
      <protection locked="true" hidden="false"/>
    </xf>
    <xf numFmtId="164" fontId="0" fillId="23" borderId="11" xfId="0" applyFont="false" applyBorder="true" applyAlignment="true" applyProtection="false">
      <alignment horizontal="center" vertical="bottom" textRotation="0" wrapText="false" indent="0" shrinkToFit="false"/>
      <protection locked="true" hidden="false"/>
    </xf>
    <xf numFmtId="164" fontId="17" fillId="23" borderId="30" xfId="0" applyFont="true" applyBorder="true" applyAlignment="false" applyProtection="false">
      <alignment horizontal="general" vertical="bottom" textRotation="0" wrapText="false" indent="0" shrinkToFit="false"/>
      <protection locked="true" hidden="false"/>
    </xf>
    <xf numFmtId="171" fontId="0" fillId="23" borderId="12" xfId="0" applyFont="true" applyBorder="true" applyAlignment="true" applyProtection="false">
      <alignment horizontal="center" vertical="bottom" textRotation="0" wrapText="false" indent="0" shrinkToFit="false"/>
      <protection locked="true" hidden="false"/>
    </xf>
    <xf numFmtId="171" fontId="0" fillId="23" borderId="12" xfId="0" applyFont="true" applyBorder="true" applyAlignment="true" applyProtection="false">
      <alignment horizontal="center" vertical="bottom" textRotation="0" wrapText="true" indent="0" shrinkToFit="false"/>
      <protection locked="true" hidden="false"/>
    </xf>
    <xf numFmtId="171" fontId="0" fillId="23" borderId="35" xfId="0" applyFont="true" applyBorder="true" applyAlignment="true" applyProtection="false">
      <alignment horizontal="center" vertical="bottom" textRotation="0" wrapText="false" indent="0" shrinkToFit="false"/>
      <protection locked="true" hidden="false"/>
    </xf>
    <xf numFmtId="171" fontId="0" fillId="23" borderId="36" xfId="0" applyFont="true" applyBorder="true" applyAlignment="true" applyProtection="false">
      <alignment horizontal="center" vertical="bottom" textRotation="0" wrapText="false" indent="0" shrinkToFit="false"/>
      <protection locked="true" hidden="false"/>
    </xf>
    <xf numFmtId="171" fontId="0" fillId="23" borderId="37" xfId="0" applyFont="true" applyBorder="true" applyAlignment="true" applyProtection="false">
      <alignment horizontal="center" vertical="bottom" textRotation="0" wrapText="false" indent="0" shrinkToFit="false"/>
      <protection locked="true" hidden="false"/>
    </xf>
    <xf numFmtId="171" fontId="0" fillId="22" borderId="0" xfId="0" applyFont="true" applyBorder="false" applyAlignment="true" applyProtection="false">
      <alignment horizontal="center" vertical="bottom" textRotation="0" wrapText="false" indent="0" shrinkToFit="false"/>
      <protection locked="true" hidden="false"/>
    </xf>
    <xf numFmtId="171" fontId="0" fillId="23" borderId="0" xfId="0" applyFont="true" applyBorder="false" applyAlignment="true" applyProtection="false">
      <alignment horizontal="center" vertical="bottom" textRotation="0" wrapText="false" indent="0" shrinkToFit="false"/>
      <protection locked="true" hidden="false"/>
    </xf>
    <xf numFmtId="171" fontId="0" fillId="23" borderId="32" xfId="0" applyFont="true" applyBorder="true" applyAlignment="true" applyProtection="false">
      <alignment horizontal="center" vertical="bottom" textRotation="0" wrapText="false" indent="0" shrinkToFit="false"/>
      <protection locked="true" hidden="false"/>
    </xf>
    <xf numFmtId="171" fontId="0" fillId="23" borderId="33" xfId="0" applyFont="true" applyBorder="true" applyAlignment="true" applyProtection="false">
      <alignment horizontal="center" vertical="bottom" textRotation="0" wrapText="false" indent="0" shrinkToFit="false"/>
      <protection locked="true" hidden="false"/>
    </xf>
    <xf numFmtId="171" fontId="0" fillId="23" borderId="34" xfId="0" applyFont="true" applyBorder="true" applyAlignment="true" applyProtection="false">
      <alignment horizontal="center" vertical="bottom" textRotation="0" wrapText="false" indent="0" shrinkToFit="false"/>
      <protection locked="true" hidden="false"/>
    </xf>
    <xf numFmtId="171" fontId="0" fillId="25" borderId="6" xfId="0" applyFont="true" applyBorder="true" applyAlignment="true" applyProtection="false">
      <alignment horizontal="center" vertical="bottom" textRotation="0" wrapText="false" indent="0" shrinkToFit="false"/>
      <protection locked="true" hidden="false"/>
    </xf>
    <xf numFmtId="171" fontId="0" fillId="25" borderId="38" xfId="0" applyFont="true" applyBorder="true" applyAlignment="true" applyProtection="false">
      <alignment horizontal="center" vertical="bottom" textRotation="0" wrapText="false" indent="0" shrinkToFit="false"/>
      <protection locked="true" hidden="false"/>
    </xf>
    <xf numFmtId="171" fontId="0" fillId="26" borderId="0" xfId="0" applyFont="true" applyBorder="false" applyAlignment="true" applyProtection="false">
      <alignment horizontal="center" vertical="bottom" textRotation="0" wrapText="false" indent="0" shrinkToFit="false"/>
      <protection locked="true" hidden="false"/>
    </xf>
    <xf numFmtId="171" fontId="0" fillId="26" borderId="33" xfId="0" applyFont="true" applyBorder="true" applyAlignment="true" applyProtection="false">
      <alignment horizontal="center" vertical="bottom" textRotation="0" wrapText="false" indent="0" shrinkToFit="false"/>
      <protection locked="true" hidden="false"/>
    </xf>
    <xf numFmtId="164" fontId="0" fillId="22" borderId="0" xfId="0" applyFont="true" applyBorder="false" applyAlignment="true" applyProtection="false">
      <alignment horizontal="right" vertical="bottom" textRotation="0" wrapText="false" indent="0" shrinkToFit="false"/>
      <protection locked="true" hidden="false"/>
    </xf>
    <xf numFmtId="164" fontId="0" fillId="23" borderId="0" xfId="0" applyFont="true" applyBorder="false" applyAlignment="true" applyProtection="false">
      <alignment horizontal="left" vertical="bottom" textRotation="0" wrapText="false" indent="0" shrinkToFit="false"/>
      <protection locked="true" hidden="false"/>
    </xf>
    <xf numFmtId="164" fontId="0" fillId="23" borderId="0" xfId="0" applyFont="true" applyBorder="false" applyAlignment="true" applyProtection="false">
      <alignment horizontal="right" vertical="bottom" textRotation="0" wrapText="false" indent="0" shrinkToFit="false"/>
      <protection locked="true" hidden="false"/>
    </xf>
    <xf numFmtId="171" fontId="0" fillId="23" borderId="0" xfId="0" applyFont="true" applyBorder="false" applyAlignment="true" applyProtection="false">
      <alignment horizontal="right" vertical="bottom" textRotation="0" wrapText="false" indent="0" shrinkToFit="false"/>
      <protection locked="true" hidden="false"/>
    </xf>
    <xf numFmtId="171" fontId="0" fillId="25" borderId="6" xfId="0" applyFont="true" applyBorder="true" applyAlignment="true" applyProtection="false">
      <alignment horizontal="right" vertical="bottom" textRotation="0" wrapText="false" indent="0" shrinkToFit="false"/>
      <protection locked="true" hidden="false"/>
    </xf>
    <xf numFmtId="164" fontId="23" fillId="22" borderId="0" xfId="0" applyFont="true" applyBorder="false" applyAlignment="false" applyProtection="false">
      <alignment horizontal="general" vertical="bottom" textRotation="0" wrapText="false" indent="0" shrinkToFit="false"/>
      <protection locked="true" hidden="false"/>
    </xf>
    <xf numFmtId="171" fontId="0" fillId="22" borderId="0" xfId="0" applyFont="true" applyBorder="false" applyAlignment="false" applyProtection="false">
      <alignment horizontal="general" vertical="bottom" textRotation="0" wrapText="false" indent="0" shrinkToFit="false"/>
      <protection locked="true" hidden="false"/>
    </xf>
    <xf numFmtId="166" fontId="0" fillId="22" borderId="0" xfId="0" applyFont="true" applyBorder="false" applyAlignment="false" applyProtection="false">
      <alignment horizontal="general" vertical="bottom" textRotation="0" wrapText="false" indent="0" shrinkToFit="false"/>
      <protection locked="true" hidden="false"/>
    </xf>
    <xf numFmtId="164" fontId="0" fillId="23" borderId="16" xfId="0" applyFont="true" applyBorder="true" applyAlignment="true" applyProtection="false">
      <alignment horizontal="right" vertical="bottom" textRotation="0" wrapText="false" indent="0" shrinkToFit="false"/>
      <protection locked="true" hidden="false"/>
    </xf>
    <xf numFmtId="171" fontId="0" fillId="23" borderId="16" xfId="0" applyFont="true" applyBorder="true" applyAlignment="false" applyProtection="false">
      <alignment horizontal="general" vertical="bottom" textRotation="0" wrapText="false" indent="0" shrinkToFit="false"/>
      <protection locked="true" hidden="false"/>
    </xf>
    <xf numFmtId="166" fontId="0" fillId="23" borderId="16" xfId="0" applyFont="true" applyBorder="true" applyAlignment="false" applyProtection="false">
      <alignment horizontal="general" vertical="bottom" textRotation="0" wrapText="false" indent="0" shrinkToFit="false"/>
      <protection locked="true" hidden="false"/>
    </xf>
    <xf numFmtId="164" fontId="17" fillId="23" borderId="16" xfId="0" applyFont="true" applyBorder="true" applyAlignment="false" applyProtection="false">
      <alignment horizontal="general" vertical="bottom" textRotation="0" wrapText="false" indent="0" shrinkToFit="false"/>
      <protection locked="true" hidden="false"/>
    </xf>
    <xf numFmtId="164" fontId="21" fillId="23" borderId="0" xfId="0" applyFont="true" applyBorder="true" applyAlignment="false" applyProtection="false">
      <alignment horizontal="general" vertical="bottom" textRotation="0" wrapText="false" indent="0" shrinkToFit="false"/>
      <protection locked="true" hidden="false"/>
    </xf>
    <xf numFmtId="164" fontId="0" fillId="23" borderId="0" xfId="0" applyFont="true" applyBorder="true" applyAlignment="true" applyProtection="false">
      <alignment horizontal="right" vertical="bottom" textRotation="0" wrapText="false" indent="0" shrinkToFit="false"/>
      <protection locked="true" hidden="false"/>
    </xf>
    <xf numFmtId="171" fontId="0" fillId="23" borderId="0" xfId="0" applyFont="true" applyBorder="true" applyAlignment="false" applyProtection="false">
      <alignment horizontal="general" vertical="bottom" textRotation="0" wrapText="false" indent="0" shrinkToFit="false"/>
      <protection locked="true" hidden="false"/>
    </xf>
    <xf numFmtId="166" fontId="0" fillId="23" borderId="0" xfId="0" applyFont="true" applyBorder="true" applyAlignment="true" applyProtection="false">
      <alignment horizontal="left" vertical="center" textRotation="0" wrapText="false" indent="0" shrinkToFit="false"/>
      <protection locked="true" hidden="false"/>
    </xf>
    <xf numFmtId="164" fontId="31" fillId="23" borderId="0" xfId="0" applyFont="true" applyBorder="true" applyAlignment="true" applyProtection="false">
      <alignment horizontal="left" vertical="center" textRotation="0" wrapText="true" indent="0" shrinkToFit="false"/>
      <protection locked="true" hidden="false"/>
    </xf>
    <xf numFmtId="166" fontId="0" fillId="23" borderId="0" xfId="0" applyFont="true" applyBorder="true" applyAlignment="false" applyProtection="false">
      <alignment horizontal="general" vertical="bottom" textRotation="0" wrapText="false" indent="0" shrinkToFit="false"/>
      <protection locked="true" hidden="false"/>
    </xf>
    <xf numFmtId="164" fontId="17" fillId="23" borderId="0" xfId="0" applyFont="true" applyBorder="true" applyAlignment="false" applyProtection="false">
      <alignment horizontal="general" vertical="bottom" textRotation="0" wrapText="false" indent="0" shrinkToFit="false"/>
      <protection locked="true" hidden="false"/>
    </xf>
    <xf numFmtId="164" fontId="17" fillId="23" borderId="0" xfId="0" applyFont="true" applyBorder="true" applyAlignment="true" applyProtection="false">
      <alignment horizontal="left" vertical="center" textRotation="0" wrapText="false" indent="0" shrinkToFit="false"/>
      <protection locked="true" hidden="false"/>
    </xf>
    <xf numFmtId="167" fontId="0" fillId="23" borderId="0" xfId="0" applyFont="true" applyBorder="true" applyAlignment="true" applyProtection="false">
      <alignment horizontal="right" vertical="bottom" textRotation="0" wrapText="false" indent="0" shrinkToFit="false"/>
      <protection locked="true" hidden="false"/>
    </xf>
    <xf numFmtId="171" fontId="0" fillId="23" borderId="0" xfId="0" applyFont="true" applyBorder="true" applyAlignment="true" applyProtection="false">
      <alignment horizontal="right" vertical="bottom" textRotation="0" wrapText="false" indent="0" shrinkToFit="false"/>
      <protection locked="true" hidden="false"/>
    </xf>
    <xf numFmtId="164" fontId="17" fillId="23" borderId="0" xfId="0" applyFont="true" applyBorder="false" applyAlignment="true" applyProtection="false">
      <alignment horizontal="left" vertical="center" textRotation="0" wrapText="false" indent="0" shrinkToFit="false"/>
      <protection locked="true" hidden="false"/>
    </xf>
    <xf numFmtId="172" fontId="0" fillId="22" borderId="0" xfId="0" applyFont="true" applyBorder="false" applyAlignment="true" applyProtection="false">
      <alignment horizontal="right" vertical="center" textRotation="0" wrapText="false" indent="0" shrinkToFit="false"/>
      <protection locked="true" hidden="false"/>
    </xf>
    <xf numFmtId="164" fontId="17" fillId="23" borderId="18" xfId="0" applyFont="true" applyBorder="true" applyAlignment="false" applyProtection="false">
      <alignment horizontal="general" vertical="bottom" textRotation="0" wrapText="false" indent="0" shrinkToFit="false"/>
      <protection locked="true" hidden="false"/>
    </xf>
    <xf numFmtId="166" fontId="17" fillId="23" borderId="0" xfId="0" applyFont="true" applyBorder="false" applyAlignment="true" applyProtection="false">
      <alignment horizontal="center" vertical="bottom" textRotation="0" wrapText="true" indent="0" shrinkToFit="false"/>
      <protection locked="true" hidden="false"/>
    </xf>
    <xf numFmtId="167" fontId="17" fillId="23" borderId="0" xfId="0" applyFont="true" applyBorder="true" applyAlignment="true" applyProtection="false">
      <alignment horizontal="center" vertical="bottom" textRotation="0" wrapText="true" indent="0" shrinkToFit="false"/>
      <protection locked="true" hidden="false"/>
    </xf>
    <xf numFmtId="164" fontId="17" fillId="23" borderId="19" xfId="0" applyFont="true" applyBorder="true" applyAlignment="false" applyProtection="false">
      <alignment horizontal="general" vertical="bottom" textRotation="0" wrapText="false" indent="0" shrinkToFit="false"/>
      <protection locked="true" hidden="false"/>
    </xf>
    <xf numFmtId="164" fontId="0" fillId="23" borderId="30" xfId="0" applyFont="true" applyBorder="true" applyAlignment="true" applyProtection="false">
      <alignment horizontal="center" vertical="bottom" textRotation="0" wrapText="false" indent="0" shrinkToFit="false"/>
      <protection locked="true" hidden="false"/>
    </xf>
    <xf numFmtId="171" fontId="0" fillId="23" borderId="30" xfId="0" applyFont="true" applyBorder="true" applyAlignment="true" applyProtection="false">
      <alignment horizontal="center" vertical="bottom" textRotation="0" wrapText="false" indent="0" shrinkToFit="false"/>
      <protection locked="true" hidden="false"/>
    </xf>
    <xf numFmtId="166" fontId="0" fillId="23" borderId="30"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23" fillId="22" borderId="0" xfId="0" applyFont="true" applyBorder="false" applyAlignment="true" applyProtection="false">
      <alignment horizontal="center" vertical="bottom" textRotation="0" wrapText="false" indent="0" shrinkToFit="false"/>
      <protection locked="true" hidden="false"/>
    </xf>
    <xf numFmtId="164" fontId="38" fillId="22" borderId="0" xfId="0" applyFont="true" applyBorder="false" applyAlignment="true" applyProtection="false">
      <alignment horizontal="center" vertical="bottom" textRotation="0" wrapText="false" indent="0" shrinkToFit="false"/>
      <protection locked="true" hidden="false"/>
    </xf>
    <xf numFmtId="164" fontId="0" fillId="22" borderId="0" xfId="0" applyFont="true" applyBorder="false" applyAlignment="true" applyProtection="false">
      <alignment horizontal="center" vertical="bottom" textRotation="0" wrapText="false" indent="0" shrinkToFit="false"/>
      <protection locked="true" hidden="false"/>
    </xf>
    <xf numFmtId="166" fontId="0" fillId="23" borderId="0" xfId="0" applyFont="true" applyBorder="false" applyAlignment="true" applyProtection="false">
      <alignment horizontal="center" vertical="bottom" textRotation="0" wrapText="false" indent="0" shrinkToFit="false"/>
      <protection locked="true" hidden="false"/>
    </xf>
    <xf numFmtId="173" fontId="17" fillId="23" borderId="0" xfId="0" applyFont="true" applyBorder="false" applyAlignment="true" applyProtection="false">
      <alignment horizontal="center" vertical="bottom" textRotation="0" wrapText="false" indent="0" shrinkToFit="false"/>
      <protection locked="true" hidden="false"/>
    </xf>
    <xf numFmtId="171" fontId="17" fillId="23" borderId="0" xfId="0" applyFont="true" applyBorder="false" applyAlignment="true" applyProtection="false">
      <alignment horizontal="center" vertical="bottom" textRotation="0" wrapText="false" indent="0" shrinkToFit="false"/>
      <protection locked="true" hidden="false"/>
    </xf>
    <xf numFmtId="164" fontId="0" fillId="23" borderId="39" xfId="0" applyFont="true" applyBorder="true" applyAlignment="false" applyProtection="false">
      <alignment horizontal="general" vertical="bottom" textRotation="0" wrapText="false" indent="0" shrinkToFit="false"/>
      <protection locked="true" hidden="false"/>
    </xf>
    <xf numFmtId="164" fontId="23" fillId="23" borderId="39" xfId="0" applyFont="true" applyBorder="true" applyAlignment="true" applyProtection="false">
      <alignment horizontal="center" vertical="bottom" textRotation="0" wrapText="false" indent="0" shrinkToFit="false"/>
      <protection locked="true" hidden="false"/>
    </xf>
    <xf numFmtId="164" fontId="0" fillId="22" borderId="39" xfId="0" applyFont="true" applyBorder="true" applyAlignment="true" applyProtection="false">
      <alignment horizontal="center" vertical="bottom" textRotation="0" wrapText="false" indent="0" shrinkToFit="false"/>
      <protection locked="true" hidden="false"/>
    </xf>
    <xf numFmtId="171" fontId="0" fillId="22" borderId="39" xfId="0" applyFont="true" applyBorder="true" applyAlignment="true" applyProtection="false">
      <alignment horizontal="center" vertical="bottom" textRotation="0" wrapText="false" indent="0" shrinkToFit="false"/>
      <protection locked="true" hidden="false"/>
    </xf>
    <xf numFmtId="171" fontId="0" fillId="23" borderId="39" xfId="0" applyFont="true" applyBorder="true" applyAlignment="true" applyProtection="false">
      <alignment horizontal="center" vertical="bottom" textRotation="0" wrapText="false" indent="0" shrinkToFit="false"/>
      <protection locked="true" hidden="false"/>
    </xf>
    <xf numFmtId="166" fontId="0" fillId="23" borderId="39" xfId="0" applyFont="true" applyBorder="true" applyAlignment="true" applyProtection="false">
      <alignment horizontal="center" vertical="bottom" textRotation="0" wrapText="false" indent="0" shrinkToFit="false"/>
      <protection locked="true" hidden="false"/>
    </xf>
    <xf numFmtId="173" fontId="17" fillId="23" borderId="39" xfId="0" applyFont="true" applyBorder="true" applyAlignment="true" applyProtection="false">
      <alignment horizontal="center" vertical="bottom" textRotation="0" wrapText="false" indent="0" shrinkToFit="false"/>
      <protection locked="true" hidden="false"/>
    </xf>
    <xf numFmtId="171" fontId="17" fillId="23" borderId="39" xfId="0" applyFont="true" applyBorder="true" applyAlignment="true" applyProtection="false">
      <alignment horizontal="center" vertical="bottom" textRotation="0" wrapText="false" indent="0" shrinkToFit="false"/>
      <protection locked="true" hidden="false"/>
    </xf>
    <xf numFmtId="164" fontId="0" fillId="23" borderId="40" xfId="0" applyFont="true" applyBorder="true" applyAlignment="false" applyProtection="false">
      <alignment horizontal="general" vertical="bottom" textRotation="0" wrapText="false" indent="0" shrinkToFit="false"/>
      <protection locked="true" hidden="false"/>
    </xf>
    <xf numFmtId="164" fontId="23" fillId="23" borderId="40" xfId="0" applyFont="true" applyBorder="true" applyAlignment="true" applyProtection="false">
      <alignment horizontal="center" vertical="bottom" textRotation="0" wrapText="false" indent="0" shrinkToFit="false"/>
      <protection locked="true" hidden="false"/>
    </xf>
    <xf numFmtId="164" fontId="38" fillId="22" borderId="40" xfId="0" applyFont="true" applyBorder="true" applyAlignment="true" applyProtection="false">
      <alignment horizontal="center" vertical="bottom" textRotation="0" wrapText="false" indent="0" shrinkToFit="false"/>
      <protection locked="true" hidden="false"/>
    </xf>
    <xf numFmtId="171" fontId="0" fillId="22" borderId="40" xfId="0" applyFont="true" applyBorder="true" applyAlignment="true" applyProtection="false">
      <alignment horizontal="center" vertical="bottom" textRotation="0" wrapText="false" indent="0" shrinkToFit="false"/>
      <protection locked="true" hidden="false"/>
    </xf>
    <xf numFmtId="164" fontId="0" fillId="22" borderId="40" xfId="0" applyFont="true" applyBorder="true" applyAlignment="true" applyProtection="false">
      <alignment horizontal="center" vertical="bottom" textRotation="0" wrapText="false" indent="0" shrinkToFit="false"/>
      <protection locked="true" hidden="false"/>
    </xf>
    <xf numFmtId="171" fontId="0" fillId="23" borderId="40" xfId="0" applyFont="true" applyBorder="true" applyAlignment="true" applyProtection="false">
      <alignment horizontal="center" vertical="bottom" textRotation="0" wrapText="false" indent="0" shrinkToFit="false"/>
      <protection locked="true" hidden="false"/>
    </xf>
    <xf numFmtId="166" fontId="0" fillId="23" borderId="40" xfId="0" applyFont="true" applyBorder="true" applyAlignment="true" applyProtection="false">
      <alignment horizontal="center" vertical="bottom" textRotation="0" wrapText="false" indent="0" shrinkToFit="false"/>
      <protection locked="true" hidden="false"/>
    </xf>
    <xf numFmtId="173" fontId="17" fillId="23" borderId="40" xfId="0" applyFont="true" applyBorder="true" applyAlignment="true" applyProtection="false">
      <alignment horizontal="center" vertical="bottom" textRotation="0" wrapText="false" indent="0" shrinkToFit="false"/>
      <protection locked="true" hidden="false"/>
    </xf>
    <xf numFmtId="171" fontId="17" fillId="23" borderId="40" xfId="0" applyFont="true" applyBorder="true" applyAlignment="true" applyProtection="false">
      <alignment horizontal="center" vertical="bottom" textRotation="0" wrapText="false" indent="0" shrinkToFit="false"/>
      <protection locked="true" hidden="false"/>
    </xf>
    <xf numFmtId="164" fontId="23" fillId="23" borderId="12" xfId="0" applyFont="true" applyBorder="true" applyAlignment="true" applyProtection="false">
      <alignment horizontal="center" vertical="bottom" textRotation="0" wrapText="false" indent="0" shrinkToFit="false"/>
      <protection locked="true" hidden="false"/>
    </xf>
    <xf numFmtId="164" fontId="0" fillId="22" borderId="12" xfId="0" applyFont="true" applyBorder="true" applyAlignment="true" applyProtection="false">
      <alignment horizontal="center" vertical="bottom" textRotation="0" wrapText="false" indent="0" shrinkToFit="false"/>
      <protection locked="true" hidden="false"/>
    </xf>
    <xf numFmtId="171" fontId="0" fillId="22" borderId="12" xfId="0" applyFont="true" applyBorder="true" applyAlignment="true" applyProtection="false">
      <alignment horizontal="center" vertical="bottom" textRotation="0" wrapText="false" indent="0" shrinkToFit="false"/>
      <protection locked="true" hidden="false"/>
    </xf>
    <xf numFmtId="166" fontId="0" fillId="23" borderId="12" xfId="0" applyFont="true" applyBorder="true" applyAlignment="true" applyProtection="false">
      <alignment horizontal="center" vertical="bottom" textRotation="0" wrapText="false" indent="0" shrinkToFit="false"/>
      <protection locked="true" hidden="false"/>
    </xf>
    <xf numFmtId="173" fontId="17" fillId="23" borderId="12" xfId="0" applyFont="true" applyBorder="true" applyAlignment="true" applyProtection="false">
      <alignment horizontal="center" vertical="bottom" textRotation="0" wrapText="false" indent="0" shrinkToFit="false"/>
      <protection locked="true" hidden="false"/>
    </xf>
    <xf numFmtId="171" fontId="17" fillId="23" borderId="12" xfId="0" applyFont="true" applyBorder="true" applyAlignment="true" applyProtection="false">
      <alignment horizontal="center" vertical="bottom" textRotation="0" wrapText="false" indent="0" shrinkToFit="false"/>
      <protection locked="true" hidden="false"/>
    </xf>
    <xf numFmtId="164" fontId="23" fillId="23" borderId="0" xfId="0" applyFont="true" applyBorder="true" applyAlignment="true" applyProtection="false">
      <alignment horizontal="center" vertical="bottom" textRotation="0" wrapText="false" indent="0" shrinkToFit="false"/>
      <protection locked="true" hidden="false"/>
    </xf>
    <xf numFmtId="164" fontId="0" fillId="22" borderId="0" xfId="0" applyFont="true" applyBorder="true" applyAlignment="true" applyProtection="false">
      <alignment horizontal="center" vertical="bottom" textRotation="0" wrapText="false" indent="0" shrinkToFit="false"/>
      <protection locked="true" hidden="false"/>
    </xf>
    <xf numFmtId="171" fontId="0" fillId="22" borderId="0" xfId="0" applyFont="true" applyBorder="true" applyAlignment="true" applyProtection="false">
      <alignment horizontal="center" vertical="bottom" textRotation="0" wrapText="false" indent="0" shrinkToFit="false"/>
      <protection locked="true" hidden="false"/>
    </xf>
    <xf numFmtId="171" fontId="0" fillId="23" borderId="0" xfId="0" applyFont="true" applyBorder="true" applyAlignment="true" applyProtection="false">
      <alignment horizontal="center" vertical="bottom" textRotation="0" wrapText="false" indent="0" shrinkToFit="false"/>
      <protection locked="true" hidden="false"/>
    </xf>
    <xf numFmtId="166" fontId="0" fillId="23" borderId="0" xfId="0" applyFont="true" applyBorder="true" applyAlignment="true" applyProtection="false">
      <alignment horizontal="center" vertical="bottom" textRotation="0" wrapText="false" indent="0" shrinkToFit="false"/>
      <protection locked="true" hidden="false"/>
    </xf>
    <xf numFmtId="173" fontId="17" fillId="23" borderId="0" xfId="0" applyFont="true" applyBorder="true" applyAlignment="true" applyProtection="false">
      <alignment horizontal="center" vertical="bottom" textRotation="0" wrapText="false" indent="0" shrinkToFit="false"/>
      <protection locked="true" hidden="false"/>
    </xf>
    <xf numFmtId="171" fontId="17" fillId="23" borderId="0" xfId="0" applyFont="true" applyBorder="true" applyAlignment="true" applyProtection="false">
      <alignment horizontal="center" vertical="bottom" textRotation="0" wrapText="false" indent="0" shrinkToFit="false"/>
      <protection locked="true" hidden="false"/>
    </xf>
    <xf numFmtId="164" fontId="23" fillId="23" borderId="30" xfId="0" applyFont="true" applyBorder="true" applyAlignment="false" applyProtection="false">
      <alignment horizontal="general" vertical="bottom" textRotation="0" wrapText="false" indent="0" shrinkToFit="false"/>
      <protection locked="true" hidden="false"/>
    </xf>
    <xf numFmtId="168" fontId="23" fillId="23" borderId="30" xfId="0" applyFont="true" applyBorder="true" applyAlignment="false" applyProtection="false">
      <alignment horizontal="general" vertical="bottom" textRotation="0" wrapText="false" indent="0" shrinkToFit="false"/>
      <protection locked="true" hidden="false"/>
    </xf>
    <xf numFmtId="171" fontId="0" fillId="23" borderId="30" xfId="0" applyFont="true" applyBorder="true" applyAlignment="false" applyProtection="false">
      <alignment horizontal="general" vertical="bottom" textRotation="0" wrapText="false" indent="0" shrinkToFit="false"/>
      <protection locked="true" hidden="false"/>
    </xf>
    <xf numFmtId="166" fontId="0" fillId="23" borderId="30" xfId="0" applyFont="true" applyBorder="true" applyAlignment="false" applyProtection="false">
      <alignment horizontal="general" vertical="bottom" textRotation="0" wrapText="false" indent="0" shrinkToFit="false"/>
      <protection locked="true" hidden="false"/>
    </xf>
    <xf numFmtId="173" fontId="17" fillId="23" borderId="30" xfId="0" applyFont="true" applyBorder="true" applyAlignment="false" applyProtection="false">
      <alignment horizontal="general" vertical="bottom" textRotation="0" wrapText="false" indent="0" shrinkToFit="false"/>
      <protection locked="true" hidden="false"/>
    </xf>
    <xf numFmtId="171" fontId="17" fillId="23" borderId="30" xfId="0" applyFont="true" applyBorder="true" applyAlignment="false" applyProtection="false">
      <alignment horizontal="general" vertical="bottom" textRotation="0" wrapText="false" indent="0" shrinkToFit="false"/>
      <protection locked="true" hidden="false"/>
    </xf>
    <xf numFmtId="168" fontId="23" fillId="22" borderId="0" xfId="0" applyFont="true" applyBorder="false" applyAlignment="false" applyProtection="false">
      <alignment horizontal="general" vertical="bottom" textRotation="0" wrapText="false" indent="0" shrinkToFit="false"/>
      <protection locked="true" hidden="false"/>
    </xf>
    <xf numFmtId="173" fontId="17" fillId="22" borderId="0" xfId="0" applyFont="true" applyBorder="false" applyAlignment="false" applyProtection="false">
      <alignment horizontal="general" vertical="bottom" textRotation="0" wrapText="false" indent="0" shrinkToFit="false"/>
      <protection locked="true" hidden="false"/>
    </xf>
    <xf numFmtId="171" fontId="17" fillId="22" borderId="0" xfId="0" applyFont="true" applyBorder="false" applyAlignment="false" applyProtection="false">
      <alignment horizontal="general" vertical="bottom" textRotation="0" wrapText="false" indent="0" shrinkToFit="false"/>
      <protection locked="true" hidden="false"/>
    </xf>
    <xf numFmtId="164" fontId="0" fillId="24" borderId="0" xfId="0" applyFont="false" applyBorder="false" applyAlignment="false" applyProtection="false">
      <alignment horizontal="general" vertical="bottom" textRotation="0" wrapText="false" indent="0" shrinkToFit="false"/>
      <protection locked="true" hidden="false"/>
    </xf>
    <xf numFmtId="164" fontId="0" fillId="24" borderId="0" xfId="0" applyFont="false" applyBorder="false" applyAlignment="true" applyProtection="false">
      <alignment horizontal="center" vertical="bottom" textRotation="0" wrapText="false" indent="0" shrinkToFit="false"/>
      <protection locked="true" hidden="false"/>
    </xf>
    <xf numFmtId="171" fontId="0" fillId="24" borderId="0" xfId="0" applyFont="false" applyBorder="false" applyAlignment="false" applyProtection="false">
      <alignment horizontal="general" vertical="bottom" textRotation="0" wrapText="false" indent="0" shrinkToFit="false"/>
      <protection locked="true" hidden="false"/>
    </xf>
    <xf numFmtId="167" fontId="0" fillId="24" borderId="0" xfId="0" applyFont="false" applyBorder="false" applyAlignment="false" applyProtection="false">
      <alignment horizontal="general" vertical="bottom" textRotation="0" wrapText="false" indent="0" shrinkToFit="false"/>
      <protection locked="true" hidden="false"/>
    </xf>
    <xf numFmtId="169" fontId="0" fillId="24" borderId="0" xfId="0" applyFont="false" applyBorder="false" applyAlignment="false" applyProtection="false">
      <alignment horizontal="general" vertical="bottom" textRotation="0" wrapText="false" indent="0" shrinkToFit="false"/>
      <protection locked="true" hidden="false"/>
    </xf>
    <xf numFmtId="171" fontId="0" fillId="23" borderId="16" xfId="0" applyFont="true" applyBorder="true" applyAlignment="true" applyProtection="false">
      <alignment horizontal="center" vertical="bottom" textRotation="0" wrapText="false" indent="0" shrinkToFit="false"/>
      <protection locked="true" hidden="false"/>
    </xf>
    <xf numFmtId="169" fontId="0" fillId="23" borderId="16" xfId="0" applyFont="true" applyBorder="true" applyAlignment="true" applyProtection="false">
      <alignment horizontal="center" vertical="bottom" textRotation="0" wrapText="false" indent="0" shrinkToFit="false"/>
      <protection locked="true" hidden="false"/>
    </xf>
    <xf numFmtId="171" fontId="0" fillId="23" borderId="16" xfId="0" applyFont="true" applyBorder="true" applyAlignment="true" applyProtection="false">
      <alignment horizontal="left" vertical="bottom" textRotation="0" wrapText="false" indent="0" shrinkToFit="false"/>
      <protection locked="true" hidden="false"/>
    </xf>
    <xf numFmtId="171" fontId="0" fillId="23" borderId="41" xfId="0" applyFont="true" applyBorder="true" applyAlignment="true" applyProtection="false">
      <alignment horizontal="center" vertical="bottom" textRotation="0" wrapText="false" indent="0" shrinkToFit="false"/>
      <protection locked="true" hidden="false"/>
    </xf>
    <xf numFmtId="164" fontId="0" fillId="27" borderId="11" xfId="0" applyFont="true" applyBorder="true" applyAlignment="true" applyProtection="false">
      <alignment horizontal="center" vertical="center" textRotation="0" wrapText="false" indent="0" shrinkToFit="false"/>
      <protection locked="true" hidden="false"/>
    </xf>
    <xf numFmtId="171" fontId="23" fillId="23" borderId="0" xfId="0" applyFont="true" applyBorder="false" applyAlignment="true" applyProtection="false">
      <alignment horizontal="center" vertical="bottom" textRotation="0" wrapText="false" indent="0" shrinkToFit="false"/>
      <protection locked="true" hidden="false"/>
    </xf>
    <xf numFmtId="171" fontId="23" fillId="23" borderId="11" xfId="0" applyFont="true" applyBorder="true" applyAlignment="true" applyProtection="false">
      <alignment horizontal="center" vertical="bottom" textRotation="0" wrapText="false" indent="0" shrinkToFit="false"/>
      <protection locked="true" hidden="false"/>
    </xf>
    <xf numFmtId="171" fontId="17" fillId="23" borderId="0" xfId="0" applyFont="true" applyBorder="false" applyAlignment="true" applyProtection="false">
      <alignment horizontal="left" vertical="bottom" textRotation="0" wrapText="false" indent="0" shrinkToFit="false"/>
      <protection locked="true" hidden="false"/>
    </xf>
    <xf numFmtId="169" fontId="23" fillId="23" borderId="0" xfId="0" applyFont="true" applyBorder="true" applyAlignment="true" applyProtection="false">
      <alignment horizontal="center" vertical="bottom" textRotation="0" wrapText="false" indent="0" shrinkToFit="false"/>
      <protection locked="true" hidden="false"/>
    </xf>
    <xf numFmtId="164" fontId="0" fillId="23" borderId="18" xfId="0" applyFont="true" applyBorder="true" applyAlignment="true" applyProtection="false">
      <alignment horizontal="general" vertical="bottom" textRotation="0" wrapText="true" indent="0" shrinkToFit="false"/>
      <protection locked="true" hidden="false"/>
    </xf>
    <xf numFmtId="164" fontId="17" fillId="23" borderId="0" xfId="0" applyFont="true" applyBorder="true" applyAlignment="true" applyProtection="false">
      <alignment horizontal="left" vertical="center" textRotation="0" wrapText="true" indent="0" shrinkToFit="false"/>
      <protection locked="true" hidden="false"/>
    </xf>
    <xf numFmtId="164" fontId="17" fillId="23" borderId="0" xfId="0" applyFont="true" applyBorder="true" applyAlignment="true" applyProtection="false">
      <alignment horizontal="center" vertical="center" textRotation="0" wrapText="true" indent="0" shrinkToFit="false"/>
      <protection locked="true" hidden="false"/>
    </xf>
    <xf numFmtId="169" fontId="17" fillId="23" borderId="0" xfId="0" applyFont="true" applyBorder="false" applyAlignment="true" applyProtection="false">
      <alignment horizontal="center" vertical="bottom" textRotation="0" wrapText="true" indent="0" shrinkToFit="false"/>
      <protection locked="true" hidden="false"/>
    </xf>
    <xf numFmtId="167" fontId="17" fillId="23" borderId="0" xfId="0" applyFont="true" applyBorder="false" applyAlignment="true" applyProtection="false">
      <alignment horizontal="center" vertical="bottom" textRotation="0" wrapText="true" indent="0" shrinkToFit="false"/>
      <protection locked="true" hidden="false"/>
    </xf>
    <xf numFmtId="169" fontId="17" fillId="23" borderId="11" xfId="0" applyFont="true" applyBorder="true" applyAlignment="true" applyProtection="false">
      <alignment horizontal="center" vertical="bottom" textRotation="0" wrapText="true" indent="0" shrinkToFit="false"/>
      <protection locked="true" hidden="false"/>
    </xf>
    <xf numFmtId="166" fontId="17" fillId="23" borderId="11" xfId="0" applyFont="true" applyBorder="true" applyAlignment="true" applyProtection="false">
      <alignment horizontal="center" vertical="bottom" textRotation="0" wrapText="true" indent="0" shrinkToFit="false"/>
      <protection locked="true" hidden="false"/>
    </xf>
    <xf numFmtId="171" fontId="17" fillId="23" borderId="10" xfId="0" applyFont="true" applyBorder="true" applyAlignment="true" applyProtection="false">
      <alignment horizontal="center" vertical="bottom" textRotation="0" wrapText="true" indent="0" shrinkToFit="false"/>
      <protection locked="true" hidden="false"/>
    </xf>
    <xf numFmtId="169" fontId="17" fillId="23" borderId="10" xfId="0" applyFont="true" applyBorder="true" applyAlignment="true" applyProtection="false">
      <alignment horizontal="center" vertical="center" textRotation="0" wrapText="true" indent="0" shrinkToFit="false"/>
      <protection locked="true" hidden="false"/>
    </xf>
    <xf numFmtId="171" fontId="17" fillId="23" borderId="11" xfId="0" applyFont="true" applyBorder="true" applyAlignment="true" applyProtection="false">
      <alignment horizontal="center" vertical="bottom" textRotation="0" wrapText="true" indent="0" shrinkToFit="false"/>
      <protection locked="true" hidden="false"/>
    </xf>
    <xf numFmtId="164" fontId="0" fillId="24" borderId="0" xfId="0" applyFont="false" applyBorder="false" applyAlignment="true" applyProtection="false">
      <alignment horizontal="general" vertical="bottom" textRotation="0" wrapText="true" indent="0" shrinkToFit="false"/>
      <protection locked="true" hidden="false"/>
    </xf>
    <xf numFmtId="169" fontId="17" fillId="23" borderId="0" xfId="0" applyFont="true" applyBorder="true" applyAlignment="true" applyProtection="false">
      <alignment horizontal="center" vertical="bottom" textRotation="0" wrapText="true" indent="0" shrinkToFit="false"/>
      <protection locked="true" hidden="false"/>
    </xf>
    <xf numFmtId="173" fontId="17" fillId="23" borderId="0" xfId="0" applyFont="true" applyBorder="true" applyAlignment="true" applyProtection="false">
      <alignment horizontal="center" vertical="bottom" textRotation="0" wrapText="true" indent="0" shrinkToFit="false"/>
      <protection locked="true" hidden="false"/>
    </xf>
    <xf numFmtId="164" fontId="0" fillId="23" borderId="8" xfId="0" applyFont="true" applyBorder="true" applyAlignment="true" applyProtection="false">
      <alignment horizontal="center" vertical="bottom" textRotation="0" wrapText="false" indent="0" shrinkToFit="false"/>
      <protection locked="true" hidden="false"/>
    </xf>
    <xf numFmtId="169" fontId="0" fillId="22" borderId="16" xfId="0" applyFont="true" applyBorder="true" applyAlignment="true" applyProtection="false">
      <alignment horizontal="center" vertical="bottom" textRotation="0" wrapText="false" indent="0" shrinkToFit="false"/>
      <protection locked="true" hidden="false"/>
    </xf>
    <xf numFmtId="167" fontId="0" fillId="23" borderId="8" xfId="0" applyFont="true" applyBorder="true" applyAlignment="true" applyProtection="false">
      <alignment horizontal="center" vertical="bottom" textRotation="0" wrapText="false" indent="0" shrinkToFit="false"/>
      <protection locked="true" hidden="false"/>
    </xf>
    <xf numFmtId="171" fontId="0" fillId="22" borderId="16" xfId="0" applyFont="true" applyBorder="true" applyAlignment="true" applyProtection="false">
      <alignment horizontal="center" vertical="bottom" textRotation="0" wrapText="false" indent="0" shrinkToFit="false"/>
      <protection locked="true" hidden="false"/>
    </xf>
    <xf numFmtId="171" fontId="0" fillId="26" borderId="16" xfId="0" applyFont="true" applyBorder="true" applyAlignment="true" applyProtection="false">
      <alignment horizontal="center" vertical="bottom" textRotation="0" wrapText="false" indent="0" shrinkToFit="false"/>
      <protection locked="true" hidden="false"/>
    </xf>
    <xf numFmtId="169" fontId="0" fillId="23" borderId="41" xfId="0" applyFont="true" applyBorder="true" applyAlignment="true" applyProtection="false">
      <alignment horizontal="center" vertical="bottom" textRotation="0" wrapText="false" indent="0" shrinkToFit="false"/>
      <protection locked="true" hidden="false"/>
    </xf>
    <xf numFmtId="171" fontId="0" fillId="23" borderId="11" xfId="0" applyFont="true" applyBorder="true" applyAlignment="true" applyProtection="false">
      <alignment horizontal="center" vertical="bottom" textRotation="0" wrapText="false" indent="0" shrinkToFit="false"/>
      <protection locked="true" hidden="false"/>
    </xf>
    <xf numFmtId="169" fontId="0" fillId="22" borderId="0" xfId="0" applyFont="true" applyBorder="false" applyAlignment="true" applyProtection="false">
      <alignment horizontal="center" vertical="bottom" textRotation="0" wrapText="false" indent="0" shrinkToFit="false"/>
      <protection locked="true" hidden="false"/>
    </xf>
    <xf numFmtId="167" fontId="0" fillId="23" borderId="0" xfId="0" applyFont="true" applyBorder="true" applyAlignment="true" applyProtection="false">
      <alignment horizontal="center" vertical="bottom" textRotation="0" wrapText="false" indent="0" shrinkToFit="false"/>
      <protection locked="true" hidden="false"/>
    </xf>
    <xf numFmtId="169" fontId="0" fillId="23" borderId="11" xfId="0" applyFont="true" applyBorder="true" applyAlignment="true" applyProtection="false">
      <alignment horizontal="center" vertical="bottom" textRotation="0" wrapText="false" indent="0" shrinkToFit="false"/>
      <protection locked="true" hidden="false"/>
    </xf>
    <xf numFmtId="171" fontId="0" fillId="28" borderId="0" xfId="0" applyFont="true" applyBorder="false" applyAlignment="true" applyProtection="false">
      <alignment horizontal="center" vertical="center" textRotation="0" wrapText="false" indent="0" shrinkToFit="false"/>
      <protection locked="true" hidden="false"/>
    </xf>
    <xf numFmtId="169" fontId="0" fillId="23" borderId="0" xfId="0" applyFont="true" applyBorder="true" applyAlignment="true" applyProtection="false">
      <alignment horizontal="center" vertical="bottom" textRotation="0" wrapText="false" indent="0" shrinkToFit="false"/>
      <protection locked="true" hidden="false"/>
    </xf>
    <xf numFmtId="171" fontId="0" fillId="29" borderId="0" xfId="0" applyFont="true" applyBorder="false" applyAlignment="true" applyProtection="false">
      <alignment horizontal="center" vertical="bottom" textRotation="0" wrapText="false" indent="0" shrinkToFit="false"/>
      <protection locked="true" hidden="false"/>
    </xf>
    <xf numFmtId="164" fontId="0" fillId="23" borderId="40" xfId="0" applyFont="true" applyBorder="true" applyAlignment="true" applyProtection="false">
      <alignment horizontal="center" vertical="bottom" textRotation="0" wrapText="false" indent="0" shrinkToFit="false"/>
      <protection locked="true" hidden="false"/>
    </xf>
    <xf numFmtId="169" fontId="0" fillId="22" borderId="40" xfId="0" applyFont="true" applyBorder="true" applyAlignment="true" applyProtection="false">
      <alignment horizontal="center" vertical="bottom" textRotation="0" wrapText="false" indent="0" shrinkToFit="false"/>
      <protection locked="true" hidden="false"/>
    </xf>
    <xf numFmtId="167" fontId="0" fillId="23" borderId="40" xfId="0" applyFont="true" applyBorder="true" applyAlignment="true" applyProtection="false">
      <alignment horizontal="center" vertical="bottom" textRotation="0" wrapText="false" indent="0" shrinkToFit="false"/>
      <protection locked="true" hidden="false"/>
    </xf>
    <xf numFmtId="171" fontId="0" fillId="26" borderId="40" xfId="0" applyFont="true" applyBorder="true" applyAlignment="true" applyProtection="false">
      <alignment horizontal="center" vertical="bottom" textRotation="0" wrapText="false" indent="0" shrinkToFit="false"/>
      <protection locked="true" hidden="false"/>
    </xf>
    <xf numFmtId="169" fontId="0" fillId="23" borderId="42" xfId="0" applyFont="true" applyBorder="true" applyAlignment="true" applyProtection="false">
      <alignment horizontal="center" vertical="bottom" textRotation="0" wrapText="false" indent="0" shrinkToFit="false"/>
      <protection locked="true" hidden="false"/>
    </xf>
    <xf numFmtId="171" fontId="0" fillId="23" borderId="42" xfId="0" applyFont="true" applyBorder="true" applyAlignment="true" applyProtection="false">
      <alignment horizontal="center" vertical="bottom" textRotation="0" wrapText="false" indent="0" shrinkToFit="false"/>
      <protection locked="true" hidden="false"/>
    </xf>
    <xf numFmtId="169" fontId="0" fillId="23" borderId="40" xfId="0" applyFont="true" applyBorder="true" applyAlignment="true" applyProtection="false">
      <alignment horizontal="center" vertical="bottom" textRotation="0" wrapText="false" indent="0" shrinkToFit="false"/>
      <protection locked="true" hidden="false"/>
    </xf>
    <xf numFmtId="171" fontId="0" fillId="24" borderId="0" xfId="0" applyFont="true" applyBorder="true" applyAlignment="true" applyProtection="false">
      <alignment horizontal="center" vertical="bottom" textRotation="0" wrapText="false" indent="0" shrinkToFit="false"/>
      <protection locked="true" hidden="false"/>
    </xf>
    <xf numFmtId="164" fontId="0" fillId="23" borderId="0" xfId="0" applyFont="true" applyBorder="true" applyAlignment="true" applyProtection="false">
      <alignment horizontal="center" vertical="bottom" textRotation="0" wrapText="false" indent="0" shrinkToFit="false"/>
      <protection locked="true" hidden="false"/>
    </xf>
    <xf numFmtId="171" fontId="0" fillId="30" borderId="0" xfId="0" applyFont="true" applyBorder="true" applyAlignment="true" applyProtection="false">
      <alignment horizontal="center" vertical="bottom" textRotation="0" wrapText="false" indent="0" shrinkToFit="false"/>
      <protection locked="true" hidden="false"/>
    </xf>
    <xf numFmtId="169" fontId="17" fillId="26" borderId="16" xfId="0" applyFont="true" applyBorder="true" applyAlignment="true" applyProtection="false">
      <alignment horizontal="center" vertical="bottom" textRotation="0" wrapText="false" indent="0" shrinkToFit="false"/>
      <protection locked="true" hidden="false"/>
    </xf>
    <xf numFmtId="171" fontId="0" fillId="31" borderId="0" xfId="0" applyFont="true" applyBorder="true" applyAlignment="true" applyProtection="false">
      <alignment horizontal="center" vertical="bottom" textRotation="0" wrapText="false" indent="0" shrinkToFit="false"/>
      <protection locked="true" hidden="false"/>
    </xf>
    <xf numFmtId="171" fontId="0" fillId="31" borderId="40" xfId="0" applyFont="true" applyBorder="true" applyAlignment="true" applyProtection="false">
      <alignment horizontal="center" vertical="bottom" textRotation="0" wrapText="false" indent="0" shrinkToFit="false"/>
      <protection locked="true" hidden="false"/>
    </xf>
    <xf numFmtId="171" fontId="0" fillId="30" borderId="40" xfId="0" applyFont="true" applyBorder="true" applyAlignment="true" applyProtection="false">
      <alignment horizontal="center" vertical="bottom" textRotation="0" wrapText="false" indent="0" shrinkToFit="false"/>
      <protection locked="true" hidden="false"/>
    </xf>
    <xf numFmtId="169" fontId="17" fillId="23" borderId="40" xfId="0" applyFont="true" applyBorder="true" applyAlignment="true" applyProtection="false">
      <alignment horizontal="center" vertical="bottom" textRotation="0" wrapText="false" indent="0" shrinkToFit="false"/>
      <protection locked="true" hidden="false"/>
    </xf>
    <xf numFmtId="166" fontId="0" fillId="28" borderId="0" xfId="0" applyFont="true" applyBorder="false" applyAlignment="true" applyProtection="false">
      <alignment horizontal="center" vertical="center" textRotation="0" wrapText="false" indent="0" shrinkToFit="false"/>
      <protection locked="true" hidden="false"/>
    </xf>
    <xf numFmtId="164" fontId="0" fillId="23" borderId="0" xfId="0" applyFont="true" applyBorder="true" applyAlignment="true" applyProtection="false">
      <alignment horizontal="left" vertical="center" textRotation="0" wrapText="false" indent="0" shrinkToFit="false"/>
      <protection locked="true" hidden="false"/>
    </xf>
    <xf numFmtId="169" fontId="0" fillId="23" borderId="0" xfId="0" applyFont="true" applyBorder="false" applyAlignment="true" applyProtection="false">
      <alignment horizontal="center" vertical="bottom" textRotation="0" wrapText="false" indent="0" shrinkToFit="false"/>
      <protection locked="true" hidden="false"/>
    </xf>
    <xf numFmtId="169" fontId="0" fillId="29" borderId="0" xfId="0" applyFont="true" applyBorder="false" applyAlignment="true" applyProtection="false">
      <alignment horizontal="center" vertical="bottom" textRotation="0" wrapText="false" indent="0" shrinkToFit="false"/>
      <protection locked="true" hidden="false"/>
    </xf>
    <xf numFmtId="166" fontId="0" fillId="30" borderId="0" xfId="0" applyFont="false" applyBorder="true" applyAlignment="true" applyProtection="false">
      <alignment horizontal="center" vertical="bottom" textRotation="0" wrapText="false" indent="0" shrinkToFit="false"/>
      <protection locked="true" hidden="false"/>
    </xf>
    <xf numFmtId="169" fontId="0" fillId="23" borderId="30" xfId="0" applyFont="true" applyBorder="true" applyAlignment="true" applyProtection="false">
      <alignment horizontal="center" vertical="bottom" textRotation="0" wrapText="false" indent="0" shrinkToFit="false"/>
      <protection locked="true" hidden="false"/>
    </xf>
    <xf numFmtId="167" fontId="0" fillId="23" borderId="30" xfId="0" applyFont="true" applyBorder="true" applyAlignment="true" applyProtection="false">
      <alignment horizontal="center" vertical="bottom" textRotation="0" wrapText="false" indent="0" shrinkToFit="false"/>
      <protection locked="true" hidden="false"/>
    </xf>
    <xf numFmtId="171" fontId="0" fillId="23" borderId="43" xfId="0" applyFont="true" applyBorder="true" applyAlignment="true" applyProtection="false">
      <alignment horizontal="center" vertical="bottom" textRotation="0" wrapText="false" indent="0" shrinkToFit="false"/>
      <protection locked="true" hidden="false"/>
    </xf>
    <xf numFmtId="169" fontId="0" fillId="22" borderId="0" xfId="0" applyFont="false" applyBorder="false" applyAlignment="false" applyProtection="false">
      <alignment horizontal="general" vertical="bottom" textRotation="0" wrapText="false" indent="0" shrinkToFit="false"/>
      <protection locked="true" hidden="false"/>
    </xf>
    <xf numFmtId="166" fontId="0" fillId="22" borderId="0" xfId="0" applyFont="false" applyBorder="false" applyAlignment="false" applyProtection="false">
      <alignment horizontal="general" vertical="bottom" textRotation="0" wrapText="false" indent="0" shrinkToFit="false"/>
      <protection locked="true" hidden="false"/>
    </xf>
    <xf numFmtId="169" fontId="0" fillId="23" borderId="8" xfId="0" applyFont="false" applyBorder="true" applyAlignment="true" applyProtection="false">
      <alignment horizontal="center" vertical="center" textRotation="0" wrapText="false" indent="0" shrinkToFit="false"/>
      <protection locked="true" hidden="false"/>
    </xf>
    <xf numFmtId="164" fontId="0" fillId="23" borderId="0" xfId="0" applyFont="false" applyBorder="false" applyAlignment="true" applyProtection="false">
      <alignment horizontal="center" vertical="bottom" textRotation="0" wrapText="false" indent="0" shrinkToFit="false"/>
      <protection locked="true" hidden="false"/>
    </xf>
    <xf numFmtId="164" fontId="17" fillId="23" borderId="44" xfId="0" applyFont="true" applyBorder="true" applyAlignment="true" applyProtection="false">
      <alignment horizontal="center" vertical="center" textRotation="0" wrapText="true" indent="0" shrinkToFit="false"/>
      <protection locked="true" hidden="false"/>
    </xf>
    <xf numFmtId="164" fontId="0" fillId="23" borderId="44" xfId="0" applyFont="false" applyBorder="true" applyAlignment="true" applyProtection="false">
      <alignment horizontal="center" vertical="center" textRotation="0" wrapText="true" indent="0" shrinkToFit="false"/>
      <protection locked="true" hidden="false"/>
    </xf>
    <xf numFmtId="169" fontId="0" fillId="23" borderId="44" xfId="0" applyFont="false" applyBorder="true" applyAlignment="true" applyProtection="false">
      <alignment horizontal="center" vertical="center" textRotation="0" wrapText="true" indent="0" shrinkToFit="false"/>
      <protection locked="true" hidden="false"/>
    </xf>
    <xf numFmtId="164" fontId="0" fillId="23" borderId="0" xfId="0" applyFont="false" applyBorder="true" applyAlignment="true" applyProtection="false">
      <alignment horizontal="center" vertical="center" textRotation="0" wrapText="true" indent="0" shrinkToFit="false"/>
      <protection locked="true" hidden="false"/>
    </xf>
    <xf numFmtId="164" fontId="17" fillId="23" borderId="11" xfId="0" applyFont="true" applyBorder="true" applyAlignment="true" applyProtection="false">
      <alignment horizontal="center" vertical="bottom" textRotation="0" wrapText="true" indent="0" shrinkToFit="false"/>
      <protection locked="true" hidden="false"/>
    </xf>
    <xf numFmtId="164" fontId="17" fillId="23" borderId="10" xfId="0" applyFont="true" applyBorder="true" applyAlignment="true" applyProtection="false">
      <alignment horizontal="center" vertical="bottom" textRotation="0" wrapText="true" indent="0" shrinkToFit="false"/>
      <protection locked="true" hidden="false"/>
    </xf>
    <xf numFmtId="169" fontId="17" fillId="23" borderId="10" xfId="0" applyFont="true" applyBorder="true" applyAlignment="true" applyProtection="false">
      <alignment horizontal="center" vertical="bottom" textRotation="0" wrapText="true" indent="0" shrinkToFit="false"/>
      <protection locked="true" hidden="false"/>
    </xf>
    <xf numFmtId="164" fontId="17" fillId="23" borderId="11" xfId="0" applyFont="true" applyBorder="true" applyAlignment="true" applyProtection="false">
      <alignment horizontal="center" vertical="center" textRotation="0" wrapText="true" indent="0" shrinkToFit="false"/>
      <protection locked="true" hidden="false"/>
    </xf>
    <xf numFmtId="164" fontId="0" fillId="23" borderId="10" xfId="0" applyFont="true" applyBorder="true" applyAlignment="false" applyProtection="false">
      <alignment horizontal="general" vertical="bottom" textRotation="0" wrapText="false" indent="0" shrinkToFit="false"/>
      <protection locked="true" hidden="false"/>
    </xf>
    <xf numFmtId="164" fontId="17" fillId="23" borderId="30" xfId="0" applyFont="true" applyBorder="true" applyAlignment="true" applyProtection="false">
      <alignment horizontal="center" vertical="bottom" textRotation="0" wrapText="false" indent="0" shrinkToFit="false"/>
      <protection locked="true" hidden="false"/>
    </xf>
    <xf numFmtId="164" fontId="17" fillId="23" borderId="43" xfId="0" applyFont="true" applyBorder="true" applyAlignment="false" applyProtection="false">
      <alignment horizontal="general" vertical="bottom" textRotation="0" wrapText="false" indent="0" shrinkToFit="false"/>
      <protection locked="true" hidden="false"/>
    </xf>
    <xf numFmtId="164" fontId="0" fillId="23" borderId="45" xfId="0" applyFont="true" applyBorder="true" applyAlignment="true" applyProtection="false">
      <alignment horizontal="center" vertical="bottom" textRotation="0" wrapText="true" indent="0" shrinkToFit="false"/>
      <protection locked="true" hidden="false"/>
    </xf>
    <xf numFmtId="164" fontId="0" fillId="23" borderId="30" xfId="0" applyFont="true" applyBorder="true" applyAlignment="true" applyProtection="false">
      <alignment horizontal="center" vertical="bottom" textRotation="0" wrapText="true" indent="0" shrinkToFit="false"/>
      <protection locked="true" hidden="false"/>
    </xf>
    <xf numFmtId="164" fontId="0" fillId="23" borderId="43" xfId="0" applyFont="true" applyBorder="true" applyAlignment="true" applyProtection="false">
      <alignment horizontal="center" vertical="bottom" textRotation="0" wrapText="true" indent="0" shrinkToFit="false"/>
      <protection locked="true" hidden="false"/>
    </xf>
    <xf numFmtId="166" fontId="0" fillId="23" borderId="45" xfId="0" applyFont="true" applyBorder="true" applyAlignment="true" applyProtection="false">
      <alignment horizontal="center" vertical="bottom" textRotation="0" wrapText="true" indent="0" shrinkToFit="false"/>
      <protection locked="true" hidden="false"/>
    </xf>
    <xf numFmtId="166" fontId="0" fillId="23" borderId="30" xfId="0" applyFont="true" applyBorder="true" applyAlignment="true" applyProtection="false">
      <alignment horizontal="center" vertical="bottom" textRotation="0" wrapText="true" indent="0" shrinkToFit="false"/>
      <protection locked="true" hidden="false"/>
    </xf>
    <xf numFmtId="164" fontId="23" fillId="23" borderId="8" xfId="0" applyFont="true" applyBorder="true" applyAlignment="true" applyProtection="false">
      <alignment horizontal="center" vertical="bottom" textRotation="0" wrapText="false" indent="0" shrinkToFit="false"/>
      <protection locked="true" hidden="false"/>
    </xf>
    <xf numFmtId="164" fontId="23" fillId="23" borderId="9" xfId="0" applyFont="true" applyBorder="true" applyAlignment="true" applyProtection="false">
      <alignment horizontal="center" vertical="bottom" textRotation="0" wrapText="false" indent="0" shrinkToFit="false"/>
      <protection locked="true" hidden="false"/>
    </xf>
    <xf numFmtId="169" fontId="0" fillId="22" borderId="7" xfId="0" applyFont="false" applyBorder="true" applyAlignment="true" applyProtection="false">
      <alignment horizontal="center" vertical="bottom" textRotation="0" wrapText="false" indent="0" shrinkToFit="false"/>
      <protection locked="true" hidden="false"/>
    </xf>
    <xf numFmtId="169" fontId="0" fillId="22" borderId="8" xfId="0" applyFont="false" applyBorder="true" applyAlignment="true" applyProtection="false">
      <alignment horizontal="center" vertical="bottom" textRotation="0" wrapText="false" indent="0" shrinkToFit="false"/>
      <protection locked="true" hidden="false"/>
    </xf>
    <xf numFmtId="169" fontId="0" fillId="23" borderId="9" xfId="0" applyFont="false" applyBorder="true" applyAlignment="true" applyProtection="false">
      <alignment horizontal="center" vertical="bottom" textRotation="0" wrapText="false" indent="0" shrinkToFit="false"/>
      <protection locked="true" hidden="false"/>
    </xf>
    <xf numFmtId="166" fontId="0" fillId="23" borderId="7" xfId="0" applyFont="false" applyBorder="true" applyAlignment="true" applyProtection="false">
      <alignment horizontal="center" vertical="bottom" textRotation="0" wrapText="false" indent="0" shrinkToFit="false"/>
      <protection locked="true" hidden="false"/>
    </xf>
    <xf numFmtId="166" fontId="0" fillId="23" borderId="8" xfId="0" applyFont="true" applyBorder="true" applyAlignment="true" applyProtection="false">
      <alignment horizontal="center" vertical="bottom" textRotation="0" wrapText="false" indent="0" shrinkToFit="false"/>
      <protection locked="true" hidden="false"/>
    </xf>
    <xf numFmtId="169" fontId="0" fillId="23" borderId="8" xfId="0" applyFont="true" applyBorder="true" applyAlignment="true" applyProtection="false">
      <alignment horizontal="center" vertical="bottom" textRotation="0" wrapText="false" indent="0" shrinkToFit="false"/>
      <protection locked="true" hidden="false"/>
    </xf>
    <xf numFmtId="169" fontId="0" fillId="23" borderId="9" xfId="0" applyFont="true" applyBorder="true" applyAlignment="true" applyProtection="false">
      <alignment horizontal="center" vertical="bottom" textRotation="0" wrapText="false" indent="0" shrinkToFit="false"/>
      <protection locked="true" hidden="false"/>
    </xf>
    <xf numFmtId="164" fontId="23" fillId="23" borderId="11" xfId="0" applyFont="true" applyBorder="true" applyAlignment="true" applyProtection="false">
      <alignment horizontal="center" vertical="bottom" textRotation="0" wrapText="false" indent="0" shrinkToFit="false"/>
      <protection locked="true" hidden="false"/>
    </xf>
    <xf numFmtId="169" fontId="0" fillId="22" borderId="10" xfId="0" applyFont="false" applyBorder="true" applyAlignment="true" applyProtection="false">
      <alignment horizontal="center" vertical="bottom" textRotation="0" wrapText="false" indent="0" shrinkToFit="false"/>
      <protection locked="true" hidden="false"/>
    </xf>
    <xf numFmtId="169" fontId="0" fillId="22" borderId="0" xfId="0" applyFont="false" applyBorder="false" applyAlignment="true" applyProtection="false">
      <alignment horizontal="center" vertical="bottom" textRotation="0" wrapText="false" indent="0" shrinkToFit="false"/>
      <protection locked="true" hidden="false"/>
    </xf>
    <xf numFmtId="169" fontId="0" fillId="23" borderId="11" xfId="0" applyFont="false" applyBorder="true" applyAlignment="true" applyProtection="false">
      <alignment horizontal="center" vertical="bottom" textRotation="0" wrapText="false" indent="0" shrinkToFit="false"/>
      <protection locked="true" hidden="false"/>
    </xf>
    <xf numFmtId="166" fontId="0" fillId="23" borderId="10" xfId="0" applyFont="false" applyBorder="true" applyAlignment="true" applyProtection="false">
      <alignment horizontal="center" vertical="bottom" textRotation="0" wrapText="false" indent="0" shrinkToFit="false"/>
      <protection locked="true" hidden="false"/>
    </xf>
    <xf numFmtId="164" fontId="23" fillId="23" borderId="42" xfId="0" applyFont="true" applyBorder="true" applyAlignment="true" applyProtection="false">
      <alignment horizontal="center" vertical="bottom" textRotation="0" wrapText="false" indent="0" shrinkToFit="false"/>
      <protection locked="true" hidden="false"/>
    </xf>
    <xf numFmtId="169" fontId="0" fillId="22" borderId="46" xfId="0" applyFont="false" applyBorder="true" applyAlignment="true" applyProtection="false">
      <alignment horizontal="center" vertical="bottom" textRotation="0" wrapText="false" indent="0" shrinkToFit="false"/>
      <protection locked="true" hidden="false"/>
    </xf>
    <xf numFmtId="169" fontId="0" fillId="22" borderId="40" xfId="0" applyFont="false" applyBorder="true" applyAlignment="true" applyProtection="false">
      <alignment horizontal="center" vertical="bottom" textRotation="0" wrapText="false" indent="0" shrinkToFit="false"/>
      <protection locked="true" hidden="false"/>
    </xf>
    <xf numFmtId="169" fontId="0" fillId="23" borderId="42" xfId="0" applyFont="false" applyBorder="true" applyAlignment="true" applyProtection="false">
      <alignment horizontal="center" vertical="bottom" textRotation="0" wrapText="false" indent="0" shrinkToFit="false"/>
      <protection locked="true" hidden="false"/>
    </xf>
    <xf numFmtId="166" fontId="0" fillId="23" borderId="46" xfId="0" applyFont="false" applyBorder="true" applyAlignment="true" applyProtection="false">
      <alignment horizontal="center" vertical="bottom" textRotation="0" wrapText="false" indent="0" shrinkToFit="false"/>
      <protection locked="true" hidden="false"/>
    </xf>
    <xf numFmtId="164" fontId="0" fillId="23" borderId="39" xfId="0" applyFont="true" applyBorder="true" applyAlignment="true" applyProtection="false">
      <alignment horizontal="center" vertical="bottom" textRotation="0" wrapText="false" indent="0" shrinkToFit="false"/>
      <protection locked="true" hidden="false"/>
    </xf>
    <xf numFmtId="164" fontId="23" fillId="23" borderId="47" xfId="0" applyFont="true" applyBorder="true" applyAlignment="true" applyProtection="false">
      <alignment horizontal="center" vertical="bottom" textRotation="0" wrapText="false" indent="0" shrinkToFit="false"/>
      <protection locked="true" hidden="false"/>
    </xf>
    <xf numFmtId="169" fontId="0" fillId="22" borderId="48" xfId="0" applyFont="false" applyBorder="true" applyAlignment="true" applyProtection="false">
      <alignment horizontal="center" vertical="bottom" textRotation="0" wrapText="false" indent="0" shrinkToFit="false"/>
      <protection locked="true" hidden="false"/>
    </xf>
    <xf numFmtId="169" fontId="0" fillId="22" borderId="39" xfId="0" applyFont="false" applyBorder="true" applyAlignment="true" applyProtection="false">
      <alignment horizontal="center" vertical="bottom" textRotation="0" wrapText="false" indent="0" shrinkToFit="false"/>
      <protection locked="true" hidden="false"/>
    </xf>
    <xf numFmtId="169" fontId="0" fillId="23" borderId="47" xfId="0" applyFont="false" applyBorder="true" applyAlignment="true" applyProtection="false">
      <alignment horizontal="center" vertical="bottom" textRotation="0" wrapText="false" indent="0" shrinkToFit="false"/>
      <protection locked="true" hidden="false"/>
    </xf>
    <xf numFmtId="166" fontId="0" fillId="23" borderId="48" xfId="0" applyFont="false" applyBorder="true" applyAlignment="true" applyProtection="false">
      <alignment horizontal="center" vertical="bottom" textRotation="0" wrapText="false" indent="0" shrinkToFit="false"/>
      <protection locked="true" hidden="false"/>
    </xf>
    <xf numFmtId="169" fontId="0" fillId="23" borderId="39" xfId="0" applyFont="true" applyBorder="true" applyAlignment="true" applyProtection="false">
      <alignment horizontal="center" vertical="bottom" textRotation="0" wrapText="false" indent="0" shrinkToFit="false"/>
      <protection locked="true" hidden="false"/>
    </xf>
    <xf numFmtId="169" fontId="0" fillId="23" borderId="47" xfId="0" applyFont="true" applyBorder="true" applyAlignment="true" applyProtection="false">
      <alignment horizontal="center" vertical="bottom" textRotation="0" wrapText="false" indent="0" shrinkToFit="false"/>
      <protection locked="true" hidden="false"/>
    </xf>
    <xf numFmtId="164" fontId="0" fillId="23" borderId="12" xfId="0" applyFont="true" applyBorder="true" applyAlignment="true" applyProtection="false">
      <alignment horizontal="center" vertical="bottom" textRotation="0" wrapText="false" indent="0" shrinkToFit="false"/>
      <protection locked="true" hidden="false"/>
    </xf>
    <xf numFmtId="164" fontId="23" fillId="23" borderId="14" xfId="0" applyFont="true" applyBorder="true" applyAlignment="true" applyProtection="false">
      <alignment horizontal="center" vertical="bottom" textRotation="0" wrapText="false" indent="0" shrinkToFit="false"/>
      <protection locked="true" hidden="false"/>
    </xf>
    <xf numFmtId="169" fontId="0" fillId="22" borderId="13" xfId="0" applyFont="false" applyBorder="true" applyAlignment="true" applyProtection="false">
      <alignment horizontal="center" vertical="bottom" textRotation="0" wrapText="false" indent="0" shrinkToFit="false"/>
      <protection locked="true" hidden="false"/>
    </xf>
    <xf numFmtId="169" fontId="0" fillId="22" borderId="12" xfId="0" applyFont="false" applyBorder="true" applyAlignment="true" applyProtection="false">
      <alignment horizontal="center" vertical="bottom" textRotation="0" wrapText="false" indent="0" shrinkToFit="false"/>
      <protection locked="true" hidden="false"/>
    </xf>
    <xf numFmtId="169" fontId="0" fillId="23" borderId="14" xfId="0" applyFont="false" applyBorder="true" applyAlignment="true" applyProtection="false">
      <alignment horizontal="center" vertical="bottom" textRotation="0" wrapText="false" indent="0" shrinkToFit="false"/>
      <protection locked="true" hidden="false"/>
    </xf>
    <xf numFmtId="166" fontId="0" fillId="23" borderId="13" xfId="0" applyFont="false" applyBorder="true" applyAlignment="true" applyProtection="false">
      <alignment horizontal="center" vertical="bottom" textRotation="0" wrapText="false" indent="0" shrinkToFit="false"/>
      <protection locked="true" hidden="false"/>
    </xf>
    <xf numFmtId="169" fontId="0" fillId="23" borderId="12" xfId="0" applyFont="true" applyBorder="true" applyAlignment="true" applyProtection="false">
      <alignment horizontal="center" vertical="bottom" textRotation="0" wrapText="false" indent="0" shrinkToFit="false"/>
      <protection locked="true" hidden="false"/>
    </xf>
    <xf numFmtId="169" fontId="0" fillId="23" borderId="14" xfId="0" applyFont="true" applyBorder="true" applyAlignment="true" applyProtection="false">
      <alignment horizontal="center" vertical="bottom" textRotation="0" wrapText="false" indent="0" shrinkToFit="false"/>
      <protection locked="true" hidden="false"/>
    </xf>
    <xf numFmtId="169" fontId="23" fillId="26" borderId="8" xfId="0" applyFont="true" applyBorder="true" applyAlignment="true" applyProtection="false">
      <alignment horizontal="center" vertical="bottom" textRotation="0" wrapText="false" indent="0" shrinkToFit="false"/>
      <protection locked="true" hidden="false"/>
    </xf>
    <xf numFmtId="169" fontId="17" fillId="26" borderId="8" xfId="0" applyFont="true" applyBorder="true" applyAlignment="true" applyProtection="false">
      <alignment horizontal="center" vertical="bottom" textRotation="0" wrapText="false" indent="0" shrinkToFit="false"/>
      <protection locked="true" hidden="false"/>
    </xf>
    <xf numFmtId="166" fontId="0" fillId="30" borderId="10" xfId="0" applyFont="false" applyBorder="true" applyAlignment="true" applyProtection="false">
      <alignment horizontal="center" vertical="bottom" textRotation="0" wrapText="false" indent="0" shrinkToFit="false"/>
      <protection locked="true" hidden="false"/>
    </xf>
    <xf numFmtId="164" fontId="0" fillId="29" borderId="0" xfId="0" applyFont="true" applyBorder="false" applyAlignment="true" applyProtection="false">
      <alignment horizontal="center" vertical="bottom" textRotation="0" wrapText="false" indent="0" shrinkToFit="false"/>
      <protection locked="true" hidden="false"/>
    </xf>
    <xf numFmtId="169" fontId="0" fillId="23" borderId="0" xfId="0" applyFont="false" applyBorder="true" applyAlignment="true" applyProtection="false">
      <alignment horizontal="center" vertical="bottom" textRotation="0" wrapText="false" indent="0" shrinkToFit="false"/>
      <protection locked="true" hidden="false"/>
    </xf>
    <xf numFmtId="169" fontId="0" fillId="23" borderId="0" xfId="0" applyFont="false" applyBorder="false" applyAlignment="true" applyProtection="false">
      <alignment horizontal="center" vertical="bottom" textRotation="0" wrapText="false" indent="0" shrinkToFit="false"/>
      <protection locked="true" hidden="false"/>
    </xf>
    <xf numFmtId="166" fontId="0" fillId="23" borderId="0" xfId="0" applyFont="false" applyBorder="true" applyAlignment="true" applyProtection="false">
      <alignment horizontal="center" vertical="bottom" textRotation="0" wrapText="false" indent="0" shrinkToFit="false"/>
      <protection locked="true" hidden="false"/>
    </xf>
    <xf numFmtId="169" fontId="0" fillId="23" borderId="12" xfId="0" applyFont="false" applyBorder="true" applyAlignment="false" applyProtection="false">
      <alignment horizontal="general" vertical="bottom" textRotation="0" wrapText="false" indent="0" shrinkToFit="false"/>
      <protection locked="true" hidden="false"/>
    </xf>
    <xf numFmtId="166" fontId="0" fillId="23" borderId="12" xfId="0" applyFont="false" applyBorder="true" applyAlignment="false" applyProtection="false">
      <alignment horizontal="general" vertical="bottom" textRotation="0" wrapText="false" indent="0" shrinkToFit="false"/>
      <protection locked="true" hidden="false"/>
    </xf>
  </cellXfs>
  <cellStyles count="42">
    <cellStyle name="Normal" xfId="0" builtinId="0"/>
    <cellStyle name="Comma" xfId="15" builtinId="3"/>
    <cellStyle name="Comma [0]" xfId="16" builtinId="6"/>
    <cellStyle name="Currency" xfId="17" builtinId="4"/>
    <cellStyle name="Currency [0]" xfId="18" builtinId="7"/>
    <cellStyle name="Percent" xfId="19" builtinId="5"/>
    <cellStyle name="20 % - Akzent1" xfId="20"/>
    <cellStyle name="20 % - Akzent2" xfId="21"/>
    <cellStyle name="20 % - Akzent3" xfId="22"/>
    <cellStyle name="20 % - Akzent4" xfId="23"/>
    <cellStyle name="20 % - Akzent5" xfId="24"/>
    <cellStyle name="20 % - Akzent6" xfId="25"/>
    <cellStyle name="40 % - Akzent1" xfId="26"/>
    <cellStyle name="40 % - Akzent2" xfId="27"/>
    <cellStyle name="40 % - Akzent3" xfId="28"/>
    <cellStyle name="40 % - Akzent4" xfId="29"/>
    <cellStyle name="40 % - Akzent5" xfId="30"/>
    <cellStyle name="40 % - Akzent6" xfId="31"/>
    <cellStyle name="60 % - Akzent1" xfId="32"/>
    <cellStyle name="60 % - Akzent2" xfId="33"/>
    <cellStyle name="60 % - Akzent3" xfId="34"/>
    <cellStyle name="60 % - Akzent4" xfId="35"/>
    <cellStyle name="60 % - Akzent5" xfId="36"/>
    <cellStyle name="60 % - Akzent6" xfId="37"/>
    <cellStyle name="Akzent1" xfId="38"/>
    <cellStyle name="Akzent2" xfId="39"/>
    <cellStyle name="Akzent3" xfId="40"/>
    <cellStyle name="Akzent4" xfId="41"/>
    <cellStyle name="Akzent5" xfId="42"/>
    <cellStyle name="Akzent6" xfId="43"/>
    <cellStyle name="Ausgabe" xfId="44"/>
    <cellStyle name="Berechnung" xfId="45"/>
    <cellStyle name="Eingabe" xfId="46"/>
    <cellStyle name="Ergebnis 1" xfId="47"/>
    <cellStyle name="Ergebnis 2" xfId="48"/>
    <cellStyle name="Erklärender Text" xfId="49"/>
    <cellStyle name="Verknüpfte Zelle" xfId="50"/>
    <cellStyle name="Warnender Text" xfId="51"/>
    <cellStyle name="Zelle überprüfen" xfId="52"/>
    <cellStyle name="Überschrift 3" xfId="53"/>
    <cellStyle name="Überschrift 4" xfId="54"/>
    <cellStyle name="Überschrift 5" xfId="55"/>
  </cellStyles>
  <colors>
    <indexedColors>
      <rgbColor rgb="FF000000"/>
      <rgbColor rgb="FFFFFFFF"/>
      <rgbColor rgb="FFFF0000"/>
      <rgbColor rgb="FF00FF00"/>
      <rgbColor rgb="FF0000FF"/>
      <rgbColor rgb="FFFFD320"/>
      <rgbColor rgb="FFFF00FF"/>
      <rgbColor rgb="FFBBE33D"/>
      <rgbColor rgb="FF800000"/>
      <rgbColor rgb="FF008000"/>
      <rgbColor rgb="FF000080"/>
      <rgbColor rgb="FFFF8000"/>
      <rgbColor rgb="FF800080"/>
      <rgbColor rgb="FF004586"/>
      <rgbColor rgb="FFC0C0C0"/>
      <rgbColor rgb="FF808080"/>
      <rgbColor rgb="FF999999"/>
      <rgbColor rgb="FF993366"/>
      <rgbColor rgb="FFF6F9D4"/>
      <rgbColor rgb="FFCCFFFF"/>
      <rgbColor rgb="FF660066"/>
      <rgbColor rgb="FFFF8080"/>
      <rgbColor rgb="FF0066CC"/>
      <rgbColor rgb="FFCCCCFF"/>
      <rgbColor rgb="FF000080"/>
      <rgbColor rgb="FFFF00FF"/>
      <rgbColor rgb="FFD4EA6B"/>
      <rgbColor rgb="FFEEEEEE"/>
      <rgbColor rgb="FF800080"/>
      <rgbColor rgb="FF800000"/>
      <rgbColor rgb="FF008080"/>
      <rgbColor rgb="FF0000FF"/>
      <rgbColor rgb="FFB4C7DC"/>
      <rgbColor rgb="FFDEE6EF"/>
      <rgbColor rgb="FFCCFFCC"/>
      <rgbColor rgb="FFE8F2A1"/>
      <rgbColor rgb="FF99CCFF"/>
      <rgbColor rgb="FFFF99CC"/>
      <rgbColor rgb="FFCC99FF"/>
      <rgbColor rgb="FFFFCC99"/>
      <rgbColor rgb="FFCCCCCC"/>
      <rgbColor rgb="FF33CCCC"/>
      <rgbColor rgb="FFACB20C"/>
      <rgbColor rgb="FFFFCC00"/>
      <rgbColor rgb="FFFF9900"/>
      <rgbColor rgb="FFFF6600"/>
      <rgbColor rgb="FFB3B3B3"/>
      <rgbColor rgb="FF969696"/>
      <rgbColor rgb="FF003366"/>
      <rgbColor rgb="FF339966"/>
      <rgbColor rgb="FF003300"/>
      <rgbColor rgb="FF333300"/>
      <rgbColor rgb="FFFF950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sharedStrings" Target="sharedStrings.xml"/>
</Relationships>
</file>

<file path=xl/charts/chart57.xml><?xml version="1.0" encoding="utf-8"?>
<c:chartSpace xmlns:c="http://schemas.openxmlformats.org/drawingml/2006/chart" xmlns:a="http://schemas.openxmlformats.org/drawingml/2006/main" xmlns:r="http://schemas.openxmlformats.org/officeDocument/2006/relationships">
  <c:lang val="en-US"/>
  <c:roundedCorners val="0"/>
  <c:chart>
    <c:autoTitleDeleted val="1"/>
    <c:plotArea>
      <c:scatterChart>
        <c:scatterStyle val="lineMarker"/>
        <c:varyColors val="0"/>
        <c:ser>
          <c:idx val="0"/>
          <c:order val="0"/>
          <c:tx>
            <c:strRef>
              <c:f>label 0</c:f>
              <c:strCache>
                <c:ptCount val="1"/>
                <c:pt idx="0">
                  <c:v>Wärmekapazität c von Wasser</c:v>
                </c:pt>
              </c:strCache>
            </c:strRef>
          </c:tx>
          <c:spPr>
            <a:solidFill>
              <a:srgbClr val="004586"/>
            </a:solidFill>
            <a:ln w="28800">
              <a:noFill/>
            </a:ln>
          </c:spPr>
          <c:marker>
            <c:symbol val="square"/>
            <c:size val="8"/>
            <c:spPr>
              <a:solidFill>
                <a:srgbClr val="004586"/>
              </a:solidFill>
            </c:spPr>
          </c:marker>
          <c:dLbls>
            <c:txPr>
              <a:bodyPr wrap="none"/>
              <a:lstStyle/>
              <a:p>
                <a:pPr>
                  <a:defRPr b="0" sz="1000" spc="-1" strike="noStrike">
                    <a:latin typeface="Arial"/>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xVal>
            <c:numRef>
              <c:f>1</c:f>
              <c:numCache>
                <c:formatCode>General</c:formatCode>
                <c:ptCount val="13"/>
                <c:pt idx="0">
                  <c:v>0</c:v>
                </c:pt>
                <c:pt idx="1">
                  <c:v>5</c:v>
                </c:pt>
                <c:pt idx="2">
                  <c:v>10</c:v>
                </c:pt>
                <c:pt idx="3">
                  <c:v>15</c:v>
                </c:pt>
                <c:pt idx="4">
                  <c:v>20</c:v>
                </c:pt>
                <c:pt idx="5">
                  <c:v>25</c:v>
                </c:pt>
                <c:pt idx="6">
                  <c:v>30</c:v>
                </c:pt>
                <c:pt idx="7">
                  <c:v>35</c:v>
                </c:pt>
                <c:pt idx="8">
                  <c:v>40</c:v>
                </c:pt>
                <c:pt idx="9">
                  <c:v>45</c:v>
                </c:pt>
                <c:pt idx="10">
                  <c:v>50</c:v>
                </c:pt>
                <c:pt idx="11">
                  <c:v>55</c:v>
                </c:pt>
                <c:pt idx="12">
                  <c:v>60</c:v>
                </c:pt>
              </c:numCache>
            </c:numRef>
          </c:xVal>
          <c:yVal>
            <c:numRef>
              <c:f>0</c:f>
              <c:numCache>
                <c:formatCode>General</c:formatCode>
                <c:ptCount val="13"/>
                <c:pt idx="0">
                  <c:v>4.218</c:v>
                </c:pt>
                <c:pt idx="1">
                  <c:v>4.203</c:v>
                </c:pt>
                <c:pt idx="2">
                  <c:v>4.192</c:v>
                </c:pt>
                <c:pt idx="3">
                  <c:v>4.185</c:v>
                </c:pt>
                <c:pt idx="4">
                  <c:v>4.181</c:v>
                </c:pt>
                <c:pt idx="5">
                  <c:v>4.179</c:v>
                </c:pt>
                <c:pt idx="6">
                  <c:v>4.177</c:v>
                </c:pt>
                <c:pt idx="7">
                  <c:v>4.177</c:v>
                </c:pt>
                <c:pt idx="8">
                  <c:v>4.177</c:v>
                </c:pt>
                <c:pt idx="9">
                  <c:v>4.178</c:v>
                </c:pt>
                <c:pt idx="10">
                  <c:v>4.18</c:v>
                </c:pt>
                <c:pt idx="11">
                  <c:v>4.182</c:v>
                </c:pt>
                <c:pt idx="12">
                  <c:v>4.184</c:v>
                </c:pt>
              </c:numCache>
            </c:numRef>
          </c:yVal>
          <c:smooth val="0"/>
        </c:ser>
        <c:axId val="70363579"/>
        <c:axId val="85088645"/>
      </c:scatterChart>
      <c:valAx>
        <c:axId val="70363579"/>
        <c:scaling>
          <c:orientation val="minMax"/>
        </c:scaling>
        <c:delete val="0"/>
        <c:axPos val="b"/>
        <c:numFmt formatCode="General" sourceLinked="0"/>
        <c:majorTickMark val="out"/>
        <c:minorTickMark val="none"/>
        <c:tickLblPos val="nextTo"/>
        <c:spPr>
          <a:ln w="0">
            <a:solidFill>
              <a:srgbClr val="b3b3b3"/>
            </a:solidFill>
          </a:ln>
        </c:spPr>
        <c:txPr>
          <a:bodyPr/>
          <a:lstStyle/>
          <a:p>
            <a:pPr>
              <a:defRPr b="0" sz="1000" spc="-1" strike="noStrike">
                <a:latin typeface="Arial"/>
              </a:defRPr>
            </a:pPr>
          </a:p>
        </c:txPr>
        <c:crossAx val="85088645"/>
        <c:crosses val="autoZero"/>
        <c:crossBetween val="midCat"/>
      </c:valAx>
      <c:valAx>
        <c:axId val="85088645"/>
        <c:scaling>
          <c:orientation val="minMax"/>
        </c:scaling>
        <c:delete val="0"/>
        <c:axPos val="l"/>
        <c:majorGridlines>
          <c:spPr>
            <a:ln w="0">
              <a:solidFill>
                <a:srgbClr val="b3b3b3"/>
              </a:solidFill>
            </a:ln>
          </c:spPr>
        </c:majorGridlines>
        <c:numFmt formatCode="General" sourceLinked="0"/>
        <c:majorTickMark val="out"/>
        <c:minorTickMark val="none"/>
        <c:tickLblPos val="nextTo"/>
        <c:spPr>
          <a:ln w="0">
            <a:solidFill>
              <a:srgbClr val="b3b3b3"/>
            </a:solidFill>
          </a:ln>
        </c:spPr>
        <c:txPr>
          <a:bodyPr/>
          <a:lstStyle/>
          <a:p>
            <a:pPr>
              <a:defRPr b="0" sz="1000" spc="-1" strike="noStrike">
                <a:latin typeface="Arial"/>
              </a:defRPr>
            </a:pPr>
          </a:p>
        </c:txPr>
        <c:crossAx val="70363579"/>
        <c:crosses val="autoZero"/>
        <c:crossBetween val="midCat"/>
      </c:valAx>
      <c:spPr>
        <a:noFill/>
        <a:ln w="0">
          <a:solidFill>
            <a:srgbClr val="b3b3b3"/>
          </a:solidFill>
        </a:ln>
      </c:spPr>
    </c:plotArea>
    <c:plotVisOnly val="1"/>
    <c:dispBlanksAs val="span"/>
  </c:chart>
  <c:spPr>
    <a:solidFill>
      <a:srgbClr val="ffffff"/>
    </a:solidFill>
    <a:ln w="0">
      <a:noFill/>
    </a:ln>
  </c:spPr>
</c:chartSpace>
</file>

<file path=xl/charts/chart58.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0" sz="1300" spc="-1" strike="noStrike">
                <a:latin typeface="Arial"/>
              </a:defRPr>
            </a:pPr>
            <a:r>
              <a:rPr b="0" sz="1300" spc="-1" strike="noStrike">
                <a:latin typeface="Arial"/>
              </a:rPr>
              <a:t>Calibration</a:t>
            </a:r>
          </a:p>
        </c:rich>
      </c:tx>
      <c:layout>
        <c:manualLayout>
          <c:xMode val="edge"/>
          <c:yMode val="edge"/>
          <c:x val="0.408495876423616"/>
          <c:y val="0.0343505352292699"/>
        </c:manualLayout>
      </c:layout>
      <c:overlay val="0"/>
      <c:spPr>
        <a:noFill/>
        <a:ln w="0">
          <a:noFill/>
        </a:ln>
      </c:spPr>
    </c:title>
    <c:autoTitleDeleted val="0"/>
    <c:plotArea>
      <c:layout>
        <c:manualLayout>
          <c:layoutTarget val="inner"/>
          <c:xMode val="edge"/>
          <c:yMode val="edge"/>
          <c:x val="0.158220338983051"/>
          <c:y val="0.120407132029163"/>
          <c:w val="0.71864406779661"/>
          <c:h val="0.74200534180322"/>
        </c:manualLayout>
      </c:layout>
      <c:scatterChart>
        <c:scatterStyle val="lineMarker"/>
        <c:varyColors val="0"/>
        <c:ser>
          <c:idx val="0"/>
          <c:order val="0"/>
          <c:tx>
            <c:strRef>
              <c:f>'Sonotrode calibration'!$Q$18:$Q$18</c:f>
              <c:strCache>
                <c:ptCount val="1"/>
                <c:pt idx="0">
                  <c:v>1st parallel</c:v>
                </c:pt>
              </c:strCache>
            </c:strRef>
          </c:tx>
          <c:spPr>
            <a:solidFill>
              <a:srgbClr val="ffd320"/>
            </a:solidFill>
            <a:ln w="28800">
              <a:noFill/>
            </a:ln>
          </c:spPr>
          <c:marker>
            <c:symbol val="square"/>
            <c:size val="8"/>
            <c:spPr>
              <a:solidFill>
                <a:srgbClr val="ffd320"/>
              </a:solidFill>
            </c:spPr>
          </c:marker>
          <c:dLbls>
            <c:txPr>
              <a:bodyPr wrap="none"/>
              <a:lstStyle/>
              <a:p>
                <a:pPr>
                  <a:defRPr b="0" sz="1000" spc="-1" strike="noStrike">
                    <a:latin typeface="Arial"/>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trendline>
            <c:spPr>
              <a:ln w="0">
                <a:solidFill>
                  <a:srgbClr val="ffd320"/>
                </a:solidFill>
              </a:ln>
            </c:spPr>
            <c:trendlineType val="linear"/>
            <c:forward val="0"/>
            <c:backward val="0"/>
            <c:dispRSqr val="0"/>
            <c:dispEq val="0"/>
          </c:trendline>
          <c:xVal>
            <c:numRef>
              <c:f>'Sonotrode calibration'!$Q$25:$U$25</c:f>
              <c:numCache>
                <c:formatCode>General</c:formatCode>
                <c:ptCount val="5"/>
                <c:pt idx="0">
                  <c:v>60</c:v>
                </c:pt>
                <c:pt idx="1">
                  <c:v>120</c:v>
                </c:pt>
                <c:pt idx="2">
                  <c:v>180</c:v>
                </c:pt>
                <c:pt idx="3">
                  <c:v>240</c:v>
                </c:pt>
                <c:pt idx="4">
                  <c:v>300</c:v>
                </c:pt>
              </c:numCache>
            </c:numRef>
          </c:xVal>
          <c:yVal>
            <c:numRef>
              <c:f>'Sonotrode calibration'!$Q$24:$U$24</c:f>
              <c:numCache>
                <c:formatCode>General</c:formatCode>
                <c:ptCount val="5"/>
                <c:pt idx="0">
                  <c:v>2.1</c:v>
                </c:pt>
                <c:pt idx="1">
                  <c:v>4.2</c:v>
                </c:pt>
                <c:pt idx="2">
                  <c:v>6.6</c:v>
                </c:pt>
                <c:pt idx="3">
                  <c:v>8.5</c:v>
                </c:pt>
                <c:pt idx="4">
                  <c:v>11</c:v>
                </c:pt>
              </c:numCache>
            </c:numRef>
          </c:yVal>
          <c:smooth val="0"/>
        </c:ser>
        <c:ser>
          <c:idx val="1"/>
          <c:order val="1"/>
          <c:tx>
            <c:strRef>
              <c:f>'Sonotrode calibration'!$V$18:$V$18</c:f>
              <c:strCache>
                <c:ptCount val="1"/>
                <c:pt idx="0">
                  <c:v>2nd parallel</c:v>
                </c:pt>
              </c:strCache>
            </c:strRef>
          </c:tx>
          <c:spPr>
            <a:solidFill>
              <a:srgbClr val="ff950e"/>
            </a:solidFill>
            <a:ln w="28800">
              <a:noFill/>
            </a:ln>
          </c:spPr>
          <c:marker>
            <c:symbol val="diamond"/>
            <c:size val="8"/>
            <c:spPr>
              <a:solidFill>
                <a:srgbClr val="ff950e"/>
              </a:solidFill>
            </c:spPr>
          </c:marker>
          <c:dLbls>
            <c:txPr>
              <a:bodyPr wrap="none"/>
              <a:lstStyle/>
              <a:p>
                <a:pPr>
                  <a:defRPr b="0" sz="1000" spc="-1" strike="noStrike">
                    <a:latin typeface="Arial"/>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trendline>
            <c:spPr>
              <a:ln w="0">
                <a:solidFill>
                  <a:srgbClr val="ff950e"/>
                </a:solidFill>
              </a:ln>
            </c:spPr>
            <c:trendlineType val="linear"/>
            <c:forward val="0"/>
            <c:backward val="0"/>
            <c:dispRSqr val="0"/>
            <c:dispEq val="0"/>
          </c:trendline>
          <c:xVal>
            <c:numRef>
              <c:f>'Sonotrode calibration'!$V$25:$Z$25</c:f>
              <c:numCache>
                <c:formatCode>General</c:formatCode>
                <c:ptCount val="5"/>
                <c:pt idx="0">
                  <c:v>60</c:v>
                </c:pt>
                <c:pt idx="1">
                  <c:v>120</c:v>
                </c:pt>
                <c:pt idx="2">
                  <c:v>180</c:v>
                </c:pt>
                <c:pt idx="3">
                  <c:v>240</c:v>
                </c:pt>
                <c:pt idx="4">
                  <c:v>300</c:v>
                </c:pt>
              </c:numCache>
            </c:numRef>
          </c:xVal>
          <c:yVal>
            <c:numRef>
              <c:f>'Sonotrode calibration'!$V$24:$Z$24</c:f>
              <c:numCache>
                <c:formatCode>General</c:formatCode>
                <c:ptCount val="5"/>
                <c:pt idx="0">
                  <c:v>2.2</c:v>
                </c:pt>
                <c:pt idx="1">
                  <c:v>4.2</c:v>
                </c:pt>
                <c:pt idx="2">
                  <c:v>6.7</c:v>
                </c:pt>
                <c:pt idx="3">
                  <c:v>8.8</c:v>
                </c:pt>
                <c:pt idx="4">
                  <c:v>11</c:v>
                </c:pt>
              </c:numCache>
            </c:numRef>
          </c:yVal>
          <c:smooth val="0"/>
        </c:ser>
        <c:axId val="1085352"/>
        <c:axId val="53378862"/>
      </c:scatterChart>
      <c:valAx>
        <c:axId val="1085352"/>
        <c:scaling>
          <c:orientation val="minMax"/>
        </c:scaling>
        <c:delete val="0"/>
        <c:axPos val="b"/>
        <c:numFmt formatCode="General" sourceLinked="0"/>
        <c:majorTickMark val="out"/>
        <c:minorTickMark val="none"/>
        <c:tickLblPos val="nextTo"/>
        <c:spPr>
          <a:ln w="0">
            <a:solidFill>
              <a:srgbClr val="b3b3b3"/>
            </a:solidFill>
          </a:ln>
        </c:spPr>
        <c:txPr>
          <a:bodyPr/>
          <a:lstStyle/>
          <a:p>
            <a:pPr>
              <a:defRPr b="0" sz="1000" spc="-1" strike="noStrike">
                <a:latin typeface="Arial"/>
              </a:defRPr>
            </a:pPr>
          </a:p>
        </c:txPr>
        <c:crossAx val="53378862"/>
        <c:crosses val="autoZero"/>
        <c:crossBetween val="midCat"/>
      </c:valAx>
      <c:valAx>
        <c:axId val="53378862"/>
        <c:scaling>
          <c:orientation val="minMax"/>
        </c:scaling>
        <c:delete val="0"/>
        <c:axPos val="l"/>
        <c:majorGridlines>
          <c:spPr>
            <a:ln w="0">
              <a:solidFill>
                <a:srgbClr val="b3b3b3"/>
              </a:solidFill>
            </a:ln>
          </c:spPr>
        </c:majorGridlines>
        <c:numFmt formatCode="General" sourceLinked="0"/>
        <c:majorTickMark val="out"/>
        <c:minorTickMark val="none"/>
        <c:tickLblPos val="nextTo"/>
        <c:spPr>
          <a:ln w="0">
            <a:solidFill>
              <a:srgbClr val="b3b3b3"/>
            </a:solidFill>
          </a:ln>
        </c:spPr>
        <c:txPr>
          <a:bodyPr/>
          <a:lstStyle/>
          <a:p>
            <a:pPr>
              <a:defRPr b="0" sz="1000" spc="-1" strike="noStrike">
                <a:latin typeface="Arial"/>
              </a:defRPr>
            </a:pPr>
          </a:p>
        </c:txPr>
        <c:crossAx val="1085352"/>
        <c:crosses val="autoZero"/>
        <c:crossBetween val="midCat"/>
        <c:majorUnit val="1"/>
      </c:valAx>
      <c:spPr>
        <a:noFill/>
        <a:ln w="0">
          <a:solidFill>
            <a:srgbClr val="b3b3b3"/>
          </a:solidFill>
        </a:ln>
      </c:spPr>
    </c:plotArea>
    <c:legend>
      <c:legendPos val="r"/>
      <c:layout>
        <c:manualLayout>
          <c:xMode val="edge"/>
          <c:yMode val="edge"/>
          <c:x val="0.504152542372881"/>
          <c:y val="0.685988594528261"/>
          <c:w val="0.349351639969489"/>
          <c:h val="0.150880739243431"/>
        </c:manualLayout>
      </c:layout>
      <c:overlay val="0"/>
      <c:spPr>
        <a:solidFill>
          <a:srgbClr val="ffffff"/>
        </a:solidFill>
        <a:ln w="0">
          <a:solidFill>
            <a:srgbClr val="000000"/>
          </a:solidFill>
        </a:ln>
      </c:spPr>
      <c:txPr>
        <a:bodyPr/>
        <a:lstStyle/>
        <a:p>
          <a:pPr>
            <a:defRPr b="0" sz="1000" spc="-1" strike="noStrike">
              <a:latin typeface="Arial"/>
            </a:defRPr>
          </a:pPr>
        </a:p>
      </c:txPr>
    </c:legend>
    <c:plotVisOnly val="1"/>
    <c:dispBlanksAs val="span"/>
  </c:chart>
  <c:spPr>
    <a:solidFill>
      <a:srgbClr val="ffffff"/>
    </a:solidFill>
    <a:ln w="0">
      <a:noFill/>
    </a:ln>
  </c:spPr>
</c:chartSpace>
</file>

<file path=xl/drawings/_rels/drawing1.xml.rels><?xml version="1.0" encoding="UTF-8"?>
<Relationships xmlns="http://schemas.openxmlformats.org/package/2006/relationships"><Relationship Id="rId1" Type="http://schemas.openxmlformats.org/officeDocument/2006/relationships/image" Target="../media/image17.png"/>
</Relationships>
</file>

<file path=xl/drawings/_rels/drawing2.xml.rels><?xml version="1.0" encoding="UTF-8"?>
<Relationships xmlns="http://schemas.openxmlformats.org/package/2006/relationships"><Relationship Id="rId1" Type="http://schemas.openxmlformats.org/officeDocument/2006/relationships/chart" Target="../charts/chart57.xml"/><Relationship Id="rId2" Type="http://schemas.openxmlformats.org/officeDocument/2006/relationships/image" Target="../media/image18.wmf"/><Relationship Id="rId3" Type="http://schemas.openxmlformats.org/officeDocument/2006/relationships/image" Target="../media/image19.wmf"/><Relationship Id="rId4" Type="http://schemas.openxmlformats.org/officeDocument/2006/relationships/image" Target="../media/image20.wmf"/><Relationship Id="rId5" Type="http://schemas.openxmlformats.org/officeDocument/2006/relationships/chart" Target="../charts/chart58.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absolute">
    <xdr:from>
      <xdr:col>2</xdr:col>
      <xdr:colOff>115560</xdr:colOff>
      <xdr:row>4</xdr:row>
      <xdr:rowOff>8640</xdr:rowOff>
    </xdr:from>
    <xdr:to>
      <xdr:col>2</xdr:col>
      <xdr:colOff>2216160</xdr:colOff>
      <xdr:row>8</xdr:row>
      <xdr:rowOff>1800</xdr:rowOff>
    </xdr:to>
    <xdr:pic>
      <xdr:nvPicPr>
        <xdr:cNvPr id="0" name="https://www.cypouz.com/sites/default/files/article/logo_cc-by-sa.png" descr=""/>
        <xdr:cNvPicPr/>
      </xdr:nvPicPr>
      <xdr:blipFill>
        <a:blip r:embed="rId1"/>
        <a:stretch/>
      </xdr:blipFill>
      <xdr:spPr>
        <a:xfrm>
          <a:off x="532080" y="822600"/>
          <a:ext cx="2100600" cy="73764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22320</xdr:colOff>
      <xdr:row>4</xdr:row>
      <xdr:rowOff>147240</xdr:rowOff>
    </xdr:from>
    <xdr:to>
      <xdr:col>9</xdr:col>
      <xdr:colOff>367560</xdr:colOff>
      <xdr:row>17</xdr:row>
      <xdr:rowOff>99000</xdr:rowOff>
    </xdr:to>
    <xdr:graphicFrame>
      <xdr:nvGraphicFramePr>
        <xdr:cNvPr id="1" name=""/>
        <xdr:cNvGraphicFramePr/>
      </xdr:nvGraphicFramePr>
      <xdr:xfrm>
        <a:off x="1431360" y="879480"/>
        <a:ext cx="2850840" cy="23958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xdr:col>
      <xdr:colOff>151200</xdr:colOff>
      <xdr:row>31</xdr:row>
      <xdr:rowOff>119880</xdr:rowOff>
    </xdr:from>
    <xdr:to>
      <xdr:col>10</xdr:col>
      <xdr:colOff>2227680</xdr:colOff>
      <xdr:row>33</xdr:row>
      <xdr:rowOff>183240</xdr:rowOff>
    </xdr:to>
    <xdr:pic>
      <xdr:nvPicPr>
        <xdr:cNvPr id="2" name="Picture 1" descr=""/>
        <xdr:cNvPicPr/>
      </xdr:nvPicPr>
      <xdr:blipFill>
        <a:blip r:embed="rId2"/>
        <a:stretch/>
      </xdr:blipFill>
      <xdr:spPr>
        <a:xfrm>
          <a:off x="346680" y="5749920"/>
          <a:ext cx="6348960" cy="435240"/>
        </a:xfrm>
        <a:prstGeom prst="rect">
          <a:avLst/>
        </a:prstGeom>
        <a:ln w="0">
          <a:noFill/>
        </a:ln>
      </xdr:spPr>
    </xdr:pic>
    <xdr:clientData/>
  </xdr:twoCellAnchor>
  <xdr:twoCellAnchor editAs="absolute">
    <xdr:from>
      <xdr:col>1</xdr:col>
      <xdr:colOff>173160</xdr:colOff>
      <xdr:row>26</xdr:row>
      <xdr:rowOff>88560</xdr:rowOff>
    </xdr:from>
    <xdr:to>
      <xdr:col>10</xdr:col>
      <xdr:colOff>516600</xdr:colOff>
      <xdr:row>31</xdr:row>
      <xdr:rowOff>98640</xdr:rowOff>
    </xdr:to>
    <xdr:pic>
      <xdr:nvPicPr>
        <xdr:cNvPr id="3" name="Picture 2" descr=""/>
        <xdr:cNvPicPr/>
      </xdr:nvPicPr>
      <xdr:blipFill>
        <a:blip r:embed="rId3"/>
        <a:stretch/>
      </xdr:blipFill>
      <xdr:spPr>
        <a:xfrm>
          <a:off x="368640" y="4847400"/>
          <a:ext cx="4615920" cy="881280"/>
        </a:xfrm>
        <a:prstGeom prst="rect">
          <a:avLst/>
        </a:prstGeom>
        <a:ln w="0">
          <a:noFill/>
        </a:ln>
      </xdr:spPr>
    </xdr:pic>
    <xdr:clientData/>
  </xdr:twoCellAnchor>
  <xdr:twoCellAnchor editAs="absolute">
    <xdr:from>
      <xdr:col>15</xdr:col>
      <xdr:colOff>97200</xdr:colOff>
      <xdr:row>3</xdr:row>
      <xdr:rowOff>133200</xdr:rowOff>
    </xdr:from>
    <xdr:to>
      <xdr:col>20</xdr:col>
      <xdr:colOff>204480</xdr:colOff>
      <xdr:row>6</xdr:row>
      <xdr:rowOff>102600</xdr:rowOff>
    </xdr:to>
    <xdr:pic>
      <xdr:nvPicPr>
        <xdr:cNvPr id="4" name="Picture 2" descr=""/>
        <xdr:cNvPicPr/>
      </xdr:nvPicPr>
      <xdr:blipFill>
        <a:blip r:embed="rId4"/>
        <a:stretch/>
      </xdr:blipFill>
      <xdr:spPr>
        <a:xfrm>
          <a:off x="8219520" y="717480"/>
          <a:ext cx="4171320" cy="493920"/>
        </a:xfrm>
        <a:prstGeom prst="rect">
          <a:avLst/>
        </a:prstGeom>
        <a:ln w="0">
          <a:noFill/>
        </a:ln>
      </xdr:spPr>
    </xdr:pic>
    <xdr:clientData/>
  </xdr:twoCellAnchor>
  <xdr:twoCellAnchor editAs="oneCell">
    <xdr:from>
      <xdr:col>26</xdr:col>
      <xdr:colOff>40320</xdr:colOff>
      <xdr:row>3</xdr:row>
      <xdr:rowOff>5760</xdr:rowOff>
    </xdr:from>
    <xdr:to>
      <xdr:col>32</xdr:col>
      <xdr:colOff>663120</xdr:colOff>
      <xdr:row>28</xdr:row>
      <xdr:rowOff>1080</xdr:rowOff>
    </xdr:to>
    <xdr:graphicFrame>
      <xdr:nvGraphicFramePr>
        <xdr:cNvPr id="5" name=""/>
        <xdr:cNvGraphicFramePr/>
      </xdr:nvGraphicFramePr>
      <xdr:xfrm>
        <a:off x="17103240" y="590040"/>
        <a:ext cx="5499720" cy="450612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3.xml.rels><?xml version="1.0" encoding="UTF-8"?>
<Relationships xmlns="http://schemas.openxmlformats.org/package/2006/relationships"><Relationship Id="rId1" Type="http://schemas.openxmlformats.org/officeDocument/2006/relationships/hyperlink" Target="https://www.engineeringtoolbox.com/specific-heat-capacity-water-d_660.html" TargetMode="External"/><Relationship Id="rId2" Type="http://schemas.openxmlformats.org/officeDocument/2006/relationships/drawing" Target="../drawings/drawing2.xml"/>
</Relationships>
</file>

<file path=xl/worksheets/_rels/sheet5.xml.rels><?xml version="1.0" encoding="UTF-8"?>
<Relationships xmlns="http://schemas.openxmlformats.org/package/2006/relationships"><Relationship Id="rId1" Type="http://schemas.openxmlformats.org/officeDocument/2006/relationships/hyperlink" Target="https://en.wikipedia.org/wiki/Creative_Commons_license" TargetMode="External"/><Relationship Id="rId2" Type="http://schemas.openxmlformats.org/officeDocument/2006/relationships/hyperlink" Target="https://doi.org/10.1111/j.1365-2389.1976.tb02014.x"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D9"/>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C18" activeCellId="0" sqref="C18"/>
    </sheetView>
  </sheetViews>
  <sheetFormatPr defaultColWidth="11.53515625" defaultRowHeight="14.65" zeroHeight="false" outlineLevelRow="0" outlineLevelCol="0"/>
  <cols>
    <col collapsed="false" customWidth="true" hidden="false" outlineLevel="0" max="2" min="1" style="1" width="2.95"/>
    <col collapsed="false" customWidth="true" hidden="false" outlineLevel="0" max="3" min="3" style="1" width="34.47"/>
    <col collapsed="false" customWidth="true" hidden="false" outlineLevel="0" max="4" min="4" style="1" width="2.77"/>
    <col collapsed="false" customWidth="false" hidden="false" outlineLevel="0" max="1024" min="5" style="1" width="11.52"/>
  </cols>
  <sheetData>
    <row r="2" customFormat="false" ht="14.65" hidden="false" customHeight="true" outlineLevel="0" collapsed="false">
      <c r="B2" s="2" t="s">
        <v>0</v>
      </c>
      <c r="C2" s="2"/>
      <c r="D2" s="2"/>
    </row>
    <row r="3" customFormat="false" ht="20.15" hidden="false" customHeight="true" outlineLevel="0" collapsed="false">
      <c r="B3" s="2"/>
      <c r="C3" s="2"/>
      <c r="D3" s="2"/>
    </row>
    <row r="4" customFormat="false" ht="14.65" hidden="false" customHeight="false" outlineLevel="0" collapsed="false">
      <c r="B4" s="2"/>
      <c r="C4" s="2"/>
      <c r="D4" s="2"/>
    </row>
    <row r="5" customFormat="false" ht="14.65" hidden="false" customHeight="false" outlineLevel="0" collapsed="false">
      <c r="B5" s="2"/>
      <c r="C5" s="2"/>
      <c r="D5" s="2"/>
    </row>
    <row r="6" customFormat="false" ht="14.65" hidden="false" customHeight="false" outlineLevel="0" collapsed="false">
      <c r="B6" s="2"/>
      <c r="C6" s="2"/>
      <c r="D6" s="2"/>
    </row>
    <row r="7" customFormat="false" ht="14.65" hidden="false" customHeight="false" outlineLevel="0" collapsed="false">
      <c r="B7" s="2"/>
      <c r="C7" s="2"/>
      <c r="D7" s="2"/>
    </row>
    <row r="8" customFormat="false" ht="14.65" hidden="false" customHeight="false" outlineLevel="0" collapsed="false">
      <c r="B8" s="2"/>
      <c r="C8" s="2"/>
      <c r="D8" s="2"/>
    </row>
    <row r="9" customFormat="false" ht="14.65" hidden="false" customHeight="false" outlineLevel="0" collapsed="false">
      <c r="B9" s="2"/>
      <c r="C9" s="2"/>
      <c r="D9" s="2"/>
    </row>
  </sheetData>
  <mergeCells count="1">
    <mergeCell ref="B2:D9"/>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landscape" blackAndWhite="false" draft="false" cellComments="none" horizontalDpi="300" verticalDpi="300" copies="1"/>
  <headerFooter differentFirst="false" differentOddEven="false">
    <oddHeader>&amp;C&amp;A</oddHeader>
    <oddFooter>&amp;CSeite &amp;P</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AMJ8"/>
  <sheetViews>
    <sheetView showFormulas="false" showGridLines="true" showRowColHeaders="true" showZeros="true" rightToLeft="false" tabSelected="true" showOutlineSymbols="true" defaultGridColor="true" view="normal" topLeftCell="A1" colorId="64" zoomScale="110" zoomScaleNormal="110" zoomScalePageLayoutView="100" workbookViewId="0">
      <selection pane="topLeft" activeCell="G43" activeCellId="0" sqref="G43"/>
    </sheetView>
  </sheetViews>
  <sheetFormatPr defaultColWidth="11.53515625" defaultRowHeight="14.65" zeroHeight="false" outlineLevelRow="0" outlineLevelCol="0"/>
  <cols>
    <col collapsed="false" customWidth="true" hidden="false" outlineLevel="0" max="1" min="1" style="1" width="3.84"/>
    <col collapsed="false" customWidth="true" hidden="false" outlineLevel="0" max="2" min="2" style="1" width="2.6"/>
    <col collapsed="false" customWidth="true" hidden="false" outlineLevel="0" max="3" min="3" style="1" width="12.33"/>
    <col collapsed="false" customWidth="true" hidden="false" outlineLevel="0" max="4" min="4" style="3" width="23.27"/>
    <col collapsed="false" customWidth="true" hidden="false" outlineLevel="0" max="5" min="5" style="3" width="8.06"/>
    <col collapsed="false" customWidth="true" hidden="false" outlineLevel="0" max="6" min="6" style="3" width="13.47"/>
    <col collapsed="false" customWidth="true" hidden="false" outlineLevel="0" max="7" min="7" style="4" width="52.81"/>
    <col collapsed="false" customWidth="true" hidden="false" outlineLevel="0" max="8" min="8" style="4" width="10.41"/>
    <col collapsed="false" customWidth="true" hidden="false" outlineLevel="0" max="9" min="9" style="4" width="34.12"/>
    <col collapsed="false" customWidth="true" hidden="false" outlineLevel="0" max="10" min="10" style="3" width="9.55"/>
    <col collapsed="false" customWidth="true" hidden="false" outlineLevel="0" max="11" min="11" style="3" width="9.2"/>
    <col collapsed="false" customWidth="true" hidden="false" outlineLevel="0" max="12" min="12" style="3" width="9.03"/>
    <col collapsed="false" customWidth="true" hidden="false" outlineLevel="0" max="13" min="13" style="3" width="14.42"/>
    <col collapsed="false" customWidth="true" hidden="false" outlineLevel="0" max="14" min="14" style="3" width="4.51"/>
    <col collapsed="false" customWidth="true" hidden="false" outlineLevel="0" max="15" min="15" style="3" width="2.25"/>
    <col collapsed="false" customWidth="true" hidden="false" outlineLevel="0" max="16" min="16" style="3" width="3.83"/>
    <col collapsed="false" customWidth="true" hidden="false" outlineLevel="0" max="17" min="17" style="3" width="5.73"/>
    <col collapsed="false" customWidth="true" hidden="false" outlineLevel="0" max="18" min="18" style="3" width="2.95"/>
    <col collapsed="false" customWidth="true" hidden="false" outlineLevel="0" max="19" min="19" style="1" width="5.21"/>
    <col collapsed="false" customWidth="true" hidden="false" outlineLevel="0" max="20" min="20" style="1" width="3.12"/>
    <col collapsed="false" customWidth="false" hidden="false" outlineLevel="0" max="1017" min="21" style="1" width="11.52"/>
  </cols>
  <sheetData>
    <row r="2" customFormat="false" ht="14.65" hidden="false" customHeight="false" outlineLevel="0" collapsed="false">
      <c r="B2" s="5"/>
      <c r="C2" s="6"/>
      <c r="D2" s="7"/>
      <c r="E2" s="7"/>
      <c r="F2" s="7"/>
      <c r="G2" s="8"/>
      <c r="H2" s="8"/>
      <c r="I2" s="8"/>
      <c r="J2" s="7"/>
      <c r="K2" s="7"/>
      <c r="L2" s="7"/>
      <c r="M2" s="7"/>
      <c r="N2" s="7"/>
      <c r="O2" s="7"/>
      <c r="P2" s="7"/>
      <c r="Q2" s="7"/>
      <c r="R2" s="7"/>
      <c r="S2" s="6"/>
      <c r="T2" s="9"/>
    </row>
    <row r="3" s="10" customFormat="true" ht="36.55" hidden="false" customHeight="true" outlineLevel="0" collapsed="false">
      <c r="B3" s="11"/>
      <c r="C3" s="12" t="s">
        <v>1</v>
      </c>
      <c r="D3" s="13" t="s">
        <v>2</v>
      </c>
      <c r="E3" s="14" t="s">
        <v>3</v>
      </c>
      <c r="F3" s="14" t="s">
        <v>4</v>
      </c>
      <c r="G3" s="14" t="s">
        <v>5</v>
      </c>
      <c r="H3" s="14" t="s">
        <v>6</v>
      </c>
      <c r="I3" s="14" t="s">
        <v>7</v>
      </c>
      <c r="J3" s="13" t="s">
        <v>8</v>
      </c>
      <c r="K3" s="13" t="s">
        <v>9</v>
      </c>
      <c r="L3" s="13" t="s">
        <v>10</v>
      </c>
      <c r="M3" s="13" t="s">
        <v>11</v>
      </c>
      <c r="N3" s="15" t="s">
        <v>12</v>
      </c>
      <c r="O3" s="15"/>
      <c r="P3" s="15"/>
      <c r="Q3" s="15" t="s">
        <v>13</v>
      </c>
      <c r="R3" s="15"/>
      <c r="S3" s="15"/>
      <c r="T3" s="16"/>
      <c r="AMD3" s="17"/>
      <c r="AME3" s="17"/>
      <c r="AMF3" s="0"/>
      <c r="AMG3" s="0"/>
      <c r="AMH3" s="0"/>
      <c r="AMI3" s="0"/>
      <c r="AMJ3" s="0"/>
    </row>
    <row r="4" s="18" customFormat="true" ht="14.65" hidden="false" customHeight="false" outlineLevel="0" collapsed="false">
      <c r="B4" s="19"/>
      <c r="C4" s="20"/>
      <c r="D4" s="21"/>
      <c r="E4" s="22" t="s">
        <v>14</v>
      </c>
      <c r="F4" s="22" t="s">
        <v>15</v>
      </c>
      <c r="G4" s="22"/>
      <c r="H4" s="22" t="s">
        <v>16</v>
      </c>
      <c r="I4" s="22"/>
      <c r="J4" s="21" t="s">
        <v>17</v>
      </c>
      <c r="K4" s="21" t="s">
        <v>17</v>
      </c>
      <c r="L4" s="21" t="s">
        <v>17</v>
      </c>
      <c r="M4" s="21" t="s">
        <v>18</v>
      </c>
      <c r="N4" s="21" t="s">
        <v>19</v>
      </c>
      <c r="O4" s="21"/>
      <c r="P4" s="21"/>
      <c r="Q4" s="21" t="s">
        <v>20</v>
      </c>
      <c r="R4" s="21"/>
      <c r="S4" s="21"/>
      <c r="T4" s="23"/>
      <c r="AMD4" s="0"/>
      <c r="AME4" s="0"/>
      <c r="AMF4" s="0"/>
      <c r="AMG4" s="0"/>
      <c r="AMH4" s="0"/>
      <c r="AMI4" s="0"/>
      <c r="AMJ4" s="0"/>
    </row>
    <row r="5" customFormat="false" ht="14.65" hidden="false" customHeight="false" outlineLevel="0" collapsed="false">
      <c r="B5" s="24"/>
      <c r="C5" s="25" t="s">
        <v>21</v>
      </c>
      <c r="D5" s="26" t="s">
        <v>22</v>
      </c>
      <c r="E5" s="27" t="n">
        <v>11.8</v>
      </c>
      <c r="F5" s="27" t="n">
        <v>572</v>
      </c>
      <c r="G5" s="27" t="s">
        <v>23</v>
      </c>
      <c r="H5" s="27" t="s">
        <v>24</v>
      </c>
      <c r="I5" s="27" t="s">
        <v>25</v>
      </c>
      <c r="J5" s="28" t="n">
        <v>82.1</v>
      </c>
      <c r="K5" s="28" t="n">
        <v>12.8</v>
      </c>
      <c r="L5" s="28" t="n">
        <v>5.1</v>
      </c>
      <c r="M5" s="28" t="s">
        <v>26</v>
      </c>
      <c r="N5" s="29" t="n">
        <v>5.9</v>
      </c>
      <c r="O5" s="30" t="s">
        <v>27</v>
      </c>
      <c r="P5" s="26" t="n">
        <v>0.1</v>
      </c>
      <c r="Q5" s="31" t="n">
        <v>32.2</v>
      </c>
      <c r="R5" s="30" t="s">
        <v>27</v>
      </c>
      <c r="S5" s="32" t="n">
        <v>1.3</v>
      </c>
      <c r="T5" s="33"/>
    </row>
    <row r="6" customFormat="false" ht="14.65" hidden="false" customHeight="false" outlineLevel="0" collapsed="false">
      <c r="B6" s="24"/>
      <c r="C6" s="25" t="s">
        <v>28</v>
      </c>
      <c r="D6" s="26" t="s">
        <v>29</v>
      </c>
      <c r="E6" s="34" t="n">
        <v>11.7</v>
      </c>
      <c r="F6" s="34" t="n">
        <v>568</v>
      </c>
      <c r="G6" s="34" t="s">
        <v>30</v>
      </c>
      <c r="H6" s="34" t="s">
        <v>24</v>
      </c>
      <c r="I6" s="34" t="s">
        <v>25</v>
      </c>
      <c r="J6" s="28" t="n">
        <v>13.1</v>
      </c>
      <c r="K6" s="28" t="n">
        <v>70.1</v>
      </c>
      <c r="L6" s="28" t="n">
        <v>16.8</v>
      </c>
      <c r="M6" s="28" t="s">
        <v>31</v>
      </c>
      <c r="N6" s="29" t="n">
        <v>7.1</v>
      </c>
      <c r="O6" s="30" t="s">
        <v>27</v>
      </c>
      <c r="P6" s="26" t="n">
        <v>0.1</v>
      </c>
      <c r="Q6" s="31" t="n">
        <v>19.7</v>
      </c>
      <c r="R6" s="30" t="s">
        <v>27</v>
      </c>
      <c r="S6" s="32" t="n">
        <v>2.1</v>
      </c>
      <c r="T6" s="33"/>
    </row>
    <row r="7" customFormat="false" ht="25.35" hidden="false" customHeight="false" outlineLevel="0" collapsed="false">
      <c r="B7" s="24"/>
      <c r="C7" s="25" t="s">
        <v>32</v>
      </c>
      <c r="D7" s="26" t="s">
        <v>33</v>
      </c>
      <c r="E7" s="34" t="n">
        <v>11.7</v>
      </c>
      <c r="F7" s="34" t="n">
        <v>672</v>
      </c>
      <c r="G7" s="34" t="s">
        <v>34</v>
      </c>
      <c r="H7" s="34" t="s">
        <v>24</v>
      </c>
      <c r="I7" s="34" t="s">
        <v>25</v>
      </c>
      <c r="J7" s="35" t="n">
        <v>18.3</v>
      </c>
      <c r="K7" s="35" t="n">
        <v>60.7</v>
      </c>
      <c r="L7" s="35" t="n">
        <v>21</v>
      </c>
      <c r="M7" s="28" t="s">
        <v>35</v>
      </c>
      <c r="N7" s="29" t="n">
        <v>6.9</v>
      </c>
      <c r="O7" s="30" t="s">
        <v>27</v>
      </c>
      <c r="P7" s="26" t="n">
        <v>0.1</v>
      </c>
      <c r="Q7" s="31" t="n">
        <v>18.4</v>
      </c>
      <c r="R7" s="30" t="s">
        <v>27</v>
      </c>
      <c r="S7" s="32" t="n">
        <v>2.2</v>
      </c>
      <c r="T7" s="33"/>
    </row>
    <row r="8" customFormat="false" ht="14.65" hidden="false" customHeight="false" outlineLevel="0" collapsed="false">
      <c r="B8" s="36"/>
      <c r="C8" s="37"/>
      <c r="D8" s="38"/>
      <c r="E8" s="38"/>
      <c r="F8" s="38"/>
      <c r="G8" s="39"/>
      <c r="H8" s="39"/>
      <c r="I8" s="39"/>
      <c r="J8" s="38"/>
      <c r="K8" s="38"/>
      <c r="L8" s="38"/>
      <c r="M8" s="38"/>
      <c r="N8" s="38"/>
      <c r="O8" s="38"/>
      <c r="P8" s="38"/>
      <c r="Q8" s="38"/>
      <c r="R8" s="38"/>
      <c r="S8" s="37"/>
      <c r="T8" s="40"/>
    </row>
  </sheetData>
  <mergeCells count="4">
    <mergeCell ref="N3:P3"/>
    <mergeCell ref="Q3:S3"/>
    <mergeCell ref="N4:P4"/>
    <mergeCell ref="Q4:S4"/>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landscape" blackAndWhite="false" draft="false" cellComments="none" horizontalDpi="300" verticalDpi="300" copies="1"/>
  <headerFooter differentFirst="false" differentOddEven="false">
    <oddHeader>&amp;C&amp;A</oddHeader>
    <oddFooter>&amp;CSeite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AG47"/>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S36" activeCellId="0" sqref="S36"/>
    </sheetView>
  </sheetViews>
  <sheetFormatPr defaultColWidth="11.53515625" defaultRowHeight="14.65" zeroHeight="false" outlineLevelRow="0" outlineLevelCol="0"/>
  <cols>
    <col collapsed="false" customWidth="true" hidden="false" outlineLevel="0" max="2" min="1" style="41" width="2.77"/>
    <col collapsed="false" customWidth="true" hidden="false" outlineLevel="0" max="3" min="3" style="41" width="6.87"/>
    <col collapsed="false" customWidth="true" hidden="false" outlineLevel="0" max="4" min="4" style="41" width="7.56"/>
    <col collapsed="false" customWidth="true" hidden="false" outlineLevel="0" max="5" min="5" style="41" width="7.26"/>
    <col collapsed="false" customWidth="true" hidden="false" outlineLevel="0" max="6" min="6" style="41" width="6.48"/>
    <col collapsed="false" customWidth="true" hidden="false" outlineLevel="0" max="7" min="7" style="41" width="7.26"/>
    <col collapsed="false" customWidth="true" hidden="false" outlineLevel="0" max="8" min="8" style="41" width="7.1"/>
    <col collapsed="false" customWidth="true" hidden="false" outlineLevel="0" max="9" min="9" style="41" width="7.41"/>
    <col collapsed="false" customWidth="true" hidden="false" outlineLevel="0" max="10" min="10" style="41" width="7.84"/>
    <col collapsed="false" customWidth="true" hidden="false" outlineLevel="0" max="11" min="11" style="41" width="36.99"/>
    <col collapsed="false" customWidth="true" hidden="false" outlineLevel="0" max="13" min="12" style="41" width="2.62"/>
    <col collapsed="false" customWidth="true" hidden="false" outlineLevel="0" max="14" min="14" style="41" width="3.24"/>
    <col collapsed="false" customWidth="true" hidden="false" outlineLevel="0" max="15" min="15" style="41" width="6.33"/>
    <col collapsed="false" customWidth="false" hidden="false" outlineLevel="0" max="1024" min="16" style="41" width="11.52"/>
  </cols>
  <sheetData>
    <row r="2" customFormat="false" ht="12.8" hidden="false" customHeight="false" outlineLevel="0" collapsed="false">
      <c r="B2" s="42"/>
      <c r="C2" s="43"/>
      <c r="D2" s="43"/>
      <c r="E2" s="43"/>
      <c r="F2" s="43"/>
      <c r="G2" s="43"/>
      <c r="H2" s="43"/>
      <c r="I2" s="43"/>
      <c r="J2" s="43"/>
      <c r="K2" s="43"/>
      <c r="L2" s="44"/>
      <c r="N2" s="42"/>
      <c r="O2" s="43"/>
      <c r="P2" s="43"/>
      <c r="Q2" s="45"/>
      <c r="R2" s="43"/>
      <c r="S2" s="43"/>
      <c r="T2" s="43"/>
      <c r="U2" s="43"/>
      <c r="V2" s="45"/>
      <c r="W2" s="43"/>
      <c r="X2" s="43"/>
      <c r="Y2" s="43"/>
      <c r="Z2" s="43"/>
      <c r="AA2" s="43"/>
      <c r="AB2" s="43"/>
      <c r="AC2" s="43"/>
      <c r="AD2" s="43"/>
      <c r="AE2" s="43"/>
      <c r="AF2" s="43"/>
      <c r="AG2" s="44"/>
    </row>
    <row r="3" customFormat="false" ht="18.55" hidden="false" customHeight="false" outlineLevel="0" collapsed="false">
      <c r="B3" s="46"/>
      <c r="C3" s="47" t="s">
        <v>36</v>
      </c>
      <c r="D3" s="47"/>
      <c r="E3" s="47"/>
      <c r="F3" s="47"/>
      <c r="G3" s="47"/>
      <c r="H3" s="47"/>
      <c r="I3" s="47"/>
      <c r="J3" s="47"/>
      <c r="K3" s="47"/>
      <c r="L3" s="48"/>
      <c r="N3" s="46"/>
      <c r="O3" s="49" t="s">
        <v>37</v>
      </c>
      <c r="P3" s="50"/>
      <c r="Q3" s="51"/>
      <c r="R3" s="50"/>
      <c r="S3" s="50"/>
      <c r="T3" s="50"/>
      <c r="U3" s="50"/>
      <c r="V3" s="51"/>
      <c r="W3" s="50"/>
      <c r="X3" s="50"/>
      <c r="Y3" s="50"/>
      <c r="Z3" s="50"/>
      <c r="AA3" s="52"/>
      <c r="AB3" s="50"/>
      <c r="AC3" s="50"/>
      <c r="AD3" s="50"/>
      <c r="AE3" s="50"/>
      <c r="AF3" s="50"/>
      <c r="AG3" s="48"/>
    </row>
    <row r="4" customFormat="false" ht="11.65" hidden="false" customHeight="true" outlineLevel="0" collapsed="false">
      <c r="B4" s="46"/>
      <c r="C4" s="53"/>
      <c r="D4" s="50"/>
      <c r="E4" s="50"/>
      <c r="F4" s="50"/>
      <c r="G4" s="50"/>
      <c r="H4" s="50"/>
      <c r="I4" s="50"/>
      <c r="J4" s="50"/>
      <c r="K4" s="50"/>
      <c r="L4" s="48"/>
      <c r="N4" s="46"/>
      <c r="O4" s="50"/>
      <c r="P4" s="50"/>
      <c r="Q4" s="51"/>
      <c r="R4" s="50"/>
      <c r="S4" s="50"/>
      <c r="T4" s="50"/>
      <c r="U4" s="50"/>
      <c r="V4" s="51"/>
      <c r="W4" s="50"/>
      <c r="X4" s="50"/>
      <c r="Y4" s="50"/>
      <c r="Z4" s="50"/>
      <c r="AA4" s="52"/>
      <c r="AB4" s="50"/>
      <c r="AC4" s="50"/>
      <c r="AD4" s="50"/>
      <c r="AE4" s="50"/>
      <c r="AF4" s="50"/>
      <c r="AG4" s="48"/>
    </row>
    <row r="5" customFormat="false" ht="14.65" hidden="false" customHeight="true" outlineLevel="0" collapsed="false">
      <c r="B5" s="46"/>
      <c r="C5" s="54" t="s">
        <v>38</v>
      </c>
      <c r="D5" s="54" t="s">
        <v>39</v>
      </c>
      <c r="E5" s="50"/>
      <c r="F5" s="34"/>
      <c r="G5" s="50"/>
      <c r="H5" s="50"/>
      <c r="I5" s="50"/>
      <c r="J5" s="50"/>
      <c r="K5" s="55" t="s">
        <v>40</v>
      </c>
      <c r="L5" s="48"/>
      <c r="N5" s="46"/>
      <c r="O5" s="50"/>
      <c r="P5" s="50"/>
      <c r="Q5" s="51"/>
      <c r="R5" s="50"/>
      <c r="S5" s="50"/>
      <c r="T5" s="50"/>
      <c r="U5" s="50"/>
      <c r="V5" s="51"/>
      <c r="W5" s="50"/>
      <c r="X5" s="50"/>
      <c r="Y5" s="50"/>
      <c r="Z5" s="50"/>
      <c r="AA5" s="56"/>
      <c r="AB5" s="56"/>
      <c r="AC5" s="50"/>
      <c r="AD5" s="50"/>
      <c r="AE5" s="50"/>
      <c r="AF5" s="50"/>
      <c r="AG5" s="48"/>
    </row>
    <row r="6" customFormat="false" ht="15" hidden="false" customHeight="false" outlineLevel="0" collapsed="false">
      <c r="B6" s="46"/>
      <c r="C6" s="57" t="s">
        <v>41</v>
      </c>
      <c r="D6" s="57" t="s">
        <v>42</v>
      </c>
      <c r="E6" s="50"/>
      <c r="F6" s="50"/>
      <c r="G6" s="50"/>
      <c r="H6" s="50"/>
      <c r="I6" s="50"/>
      <c r="J6" s="50"/>
      <c r="K6" s="55"/>
      <c r="L6" s="48"/>
      <c r="N6" s="46"/>
      <c r="O6" s="50"/>
      <c r="P6" s="50"/>
      <c r="Q6" s="51"/>
      <c r="R6" s="50"/>
      <c r="S6" s="50"/>
      <c r="T6" s="50"/>
      <c r="U6" s="50"/>
      <c r="V6" s="58"/>
      <c r="W6" s="50"/>
      <c r="X6" s="50"/>
      <c r="Y6" s="50"/>
      <c r="Z6" s="50"/>
      <c r="AA6" s="56"/>
      <c r="AB6" s="56"/>
      <c r="AC6" s="50"/>
      <c r="AD6" s="50"/>
      <c r="AE6" s="50"/>
      <c r="AF6" s="50"/>
      <c r="AG6" s="48"/>
    </row>
    <row r="7" customFormat="false" ht="15" hidden="false" customHeight="false" outlineLevel="0" collapsed="false">
      <c r="B7" s="46"/>
      <c r="C7" s="59" t="n">
        <v>0</v>
      </c>
      <c r="D7" s="60" t="n">
        <v>4.218</v>
      </c>
      <c r="E7" s="50"/>
      <c r="F7" s="50"/>
      <c r="G7" s="50"/>
      <c r="H7" s="50"/>
      <c r="I7" s="50"/>
      <c r="J7" s="50"/>
      <c r="K7" s="55"/>
      <c r="L7" s="48"/>
      <c r="N7" s="46"/>
      <c r="O7" s="61"/>
      <c r="P7" s="62"/>
      <c r="Q7" s="63"/>
      <c r="R7" s="62"/>
      <c r="S7" s="62"/>
      <c r="T7" s="62"/>
      <c r="U7" s="62"/>
      <c r="V7" s="58"/>
      <c r="W7" s="50"/>
      <c r="X7" s="50"/>
      <c r="Y7" s="50"/>
      <c r="Z7" s="50"/>
      <c r="AA7" s="56"/>
      <c r="AB7" s="56"/>
      <c r="AC7" s="50"/>
      <c r="AD7" s="50"/>
      <c r="AE7" s="50"/>
      <c r="AF7" s="50"/>
      <c r="AG7" s="48"/>
    </row>
    <row r="8" customFormat="false" ht="15" hidden="false" customHeight="true" outlineLevel="0" collapsed="false">
      <c r="B8" s="46"/>
      <c r="C8" s="64" t="n">
        <v>5</v>
      </c>
      <c r="D8" s="65" t="n">
        <v>4.203</v>
      </c>
      <c r="E8" s="50"/>
      <c r="F8" s="50"/>
      <c r="G8" s="50"/>
      <c r="H8" s="50"/>
      <c r="I8" s="50"/>
      <c r="J8" s="50"/>
      <c r="K8" s="55"/>
      <c r="L8" s="48"/>
      <c r="N8" s="46"/>
      <c r="O8" s="66" t="s">
        <v>43</v>
      </c>
      <c r="P8" s="66"/>
      <c r="Q8" s="66"/>
      <c r="R8" s="66"/>
      <c r="S8" s="66"/>
      <c r="T8" s="66"/>
      <c r="U8" s="66"/>
      <c r="V8" s="58"/>
      <c r="W8" s="58" t="s">
        <v>44</v>
      </c>
      <c r="X8" s="50"/>
      <c r="Y8" s="50"/>
      <c r="Z8" s="50"/>
      <c r="AA8" s="52"/>
      <c r="AB8" s="50"/>
      <c r="AC8" s="56"/>
      <c r="AD8" s="56"/>
      <c r="AE8" s="56"/>
      <c r="AF8" s="56"/>
      <c r="AG8" s="48"/>
    </row>
    <row r="9" customFormat="false" ht="15" hidden="false" customHeight="false" outlineLevel="0" collapsed="false">
      <c r="B9" s="46"/>
      <c r="C9" s="64" t="n">
        <v>10</v>
      </c>
      <c r="D9" s="65" t="n">
        <v>4.192</v>
      </c>
      <c r="E9" s="50"/>
      <c r="F9" s="50"/>
      <c r="G9" s="50"/>
      <c r="H9" s="50"/>
      <c r="I9" s="50"/>
      <c r="J9" s="50"/>
      <c r="K9" s="55"/>
      <c r="L9" s="48"/>
      <c r="N9" s="46"/>
      <c r="O9" s="66"/>
      <c r="P9" s="66"/>
      <c r="Q9" s="66"/>
      <c r="R9" s="66"/>
      <c r="S9" s="66"/>
      <c r="T9" s="66"/>
      <c r="U9" s="66"/>
      <c r="V9" s="58"/>
      <c r="W9" s="58" t="s">
        <v>45</v>
      </c>
      <c r="X9" s="58"/>
      <c r="Y9" s="58"/>
      <c r="Z9" s="58"/>
      <c r="AA9" s="52"/>
      <c r="AB9" s="50"/>
      <c r="AC9" s="56"/>
      <c r="AD9" s="56"/>
      <c r="AE9" s="56"/>
      <c r="AF9" s="56"/>
      <c r="AG9" s="48"/>
    </row>
    <row r="10" customFormat="false" ht="15" hidden="false" customHeight="false" outlineLevel="0" collapsed="false">
      <c r="B10" s="46"/>
      <c r="C10" s="64" t="n">
        <v>15</v>
      </c>
      <c r="D10" s="65" t="n">
        <v>4.185</v>
      </c>
      <c r="E10" s="50"/>
      <c r="F10" s="50"/>
      <c r="G10" s="50"/>
      <c r="H10" s="50"/>
      <c r="I10" s="50"/>
      <c r="J10" s="50"/>
      <c r="K10" s="55"/>
      <c r="L10" s="48"/>
      <c r="N10" s="46"/>
      <c r="O10" s="66"/>
      <c r="P10" s="66"/>
      <c r="Q10" s="66"/>
      <c r="R10" s="66"/>
      <c r="S10" s="66"/>
      <c r="T10" s="66"/>
      <c r="U10" s="66"/>
      <c r="V10" s="58"/>
      <c r="W10" s="58" t="s">
        <v>46</v>
      </c>
      <c r="X10" s="58"/>
      <c r="Y10" s="58"/>
      <c r="Z10" s="58"/>
      <c r="AA10" s="52"/>
      <c r="AB10" s="50"/>
      <c r="AC10" s="56"/>
      <c r="AD10" s="56"/>
      <c r="AE10" s="56"/>
      <c r="AF10" s="56"/>
      <c r="AG10" s="48"/>
    </row>
    <row r="11" customFormat="false" ht="15" hidden="false" customHeight="false" outlineLevel="0" collapsed="false">
      <c r="B11" s="46"/>
      <c r="C11" s="64" t="n">
        <v>20</v>
      </c>
      <c r="D11" s="65" t="n">
        <v>4.181</v>
      </c>
      <c r="E11" s="50"/>
      <c r="F11" s="50"/>
      <c r="G11" s="50"/>
      <c r="H11" s="50"/>
      <c r="I11" s="50"/>
      <c r="J11" s="50"/>
      <c r="K11" s="55"/>
      <c r="L11" s="48"/>
      <c r="N11" s="46"/>
      <c r="O11" s="66"/>
      <c r="P11" s="66"/>
      <c r="Q11" s="66"/>
      <c r="R11" s="66"/>
      <c r="S11" s="66"/>
      <c r="T11" s="66"/>
      <c r="U11" s="66"/>
      <c r="V11" s="58"/>
      <c r="W11" s="58" t="s">
        <v>47</v>
      </c>
      <c r="X11" s="58"/>
      <c r="Y11" s="58"/>
      <c r="Z11" s="58"/>
      <c r="AA11" s="52"/>
      <c r="AB11" s="56"/>
      <c r="AC11" s="56"/>
      <c r="AD11" s="56"/>
      <c r="AE11" s="56"/>
      <c r="AF11" s="56"/>
      <c r="AG11" s="48"/>
    </row>
    <row r="12" customFormat="false" ht="15" hidden="false" customHeight="false" outlineLevel="0" collapsed="false">
      <c r="B12" s="46"/>
      <c r="C12" s="67" t="n">
        <v>25</v>
      </c>
      <c r="D12" s="68" t="n">
        <v>4.179</v>
      </c>
      <c r="E12" s="50"/>
      <c r="F12" s="50"/>
      <c r="G12" s="50"/>
      <c r="H12" s="50"/>
      <c r="I12" s="50"/>
      <c r="J12" s="50"/>
      <c r="K12" s="55"/>
      <c r="L12" s="48"/>
      <c r="N12" s="46"/>
      <c r="O12" s="66"/>
      <c r="P12" s="66"/>
      <c r="Q12" s="66"/>
      <c r="R12" s="66"/>
      <c r="S12" s="66"/>
      <c r="T12" s="66"/>
      <c r="U12" s="66"/>
      <c r="V12" s="58"/>
      <c r="W12" s="69" t="s">
        <v>48</v>
      </c>
      <c r="X12" s="58"/>
      <c r="Y12" s="58"/>
      <c r="Z12" s="58"/>
      <c r="AA12" s="52"/>
      <c r="AB12" s="56"/>
      <c r="AC12" s="56"/>
      <c r="AD12" s="56"/>
      <c r="AE12" s="56"/>
      <c r="AF12" s="56"/>
      <c r="AG12" s="48"/>
    </row>
    <row r="13" customFormat="false" ht="15" hidden="false" customHeight="false" outlineLevel="0" collapsed="false">
      <c r="B13" s="46"/>
      <c r="C13" s="70" t="n">
        <v>30</v>
      </c>
      <c r="D13" s="71" t="n">
        <v>4.177</v>
      </c>
      <c r="E13" s="50"/>
      <c r="F13" s="50"/>
      <c r="G13" s="50"/>
      <c r="H13" s="50"/>
      <c r="I13" s="50"/>
      <c r="J13" s="50"/>
      <c r="K13" s="55"/>
      <c r="L13" s="48"/>
      <c r="N13" s="46"/>
      <c r="O13" s="66"/>
      <c r="P13" s="66"/>
      <c r="Q13" s="66"/>
      <c r="R13" s="66"/>
      <c r="S13" s="66"/>
      <c r="T13" s="66"/>
      <c r="U13" s="66"/>
      <c r="V13" s="58"/>
      <c r="W13" s="58" t="s">
        <v>49</v>
      </c>
      <c r="X13" s="58"/>
      <c r="Y13" s="58"/>
      <c r="Z13" s="58"/>
      <c r="AA13" s="52"/>
      <c r="AB13" s="56"/>
      <c r="AC13" s="56"/>
      <c r="AD13" s="56"/>
      <c r="AE13" s="56"/>
      <c r="AF13" s="56"/>
      <c r="AG13" s="48"/>
    </row>
    <row r="14" customFormat="false" ht="15" hidden="false" customHeight="false" outlineLevel="0" collapsed="false">
      <c r="B14" s="46"/>
      <c r="C14" s="70" t="n">
        <v>35</v>
      </c>
      <c r="D14" s="71" t="n">
        <v>4.177</v>
      </c>
      <c r="E14" s="50"/>
      <c r="F14" s="50"/>
      <c r="G14" s="50"/>
      <c r="H14" s="50"/>
      <c r="I14" s="50"/>
      <c r="J14" s="50"/>
      <c r="K14" s="55"/>
      <c r="L14" s="48"/>
      <c r="N14" s="46"/>
      <c r="O14" s="66"/>
      <c r="P14" s="66"/>
      <c r="Q14" s="66"/>
      <c r="R14" s="66"/>
      <c r="S14" s="66"/>
      <c r="T14" s="66"/>
      <c r="U14" s="66"/>
      <c r="V14" s="58"/>
      <c r="W14" s="58" t="s">
        <v>50</v>
      </c>
      <c r="X14" s="58"/>
      <c r="Y14" s="58"/>
      <c r="Z14" s="58"/>
      <c r="AA14" s="52"/>
      <c r="AB14" s="56"/>
      <c r="AC14" s="56"/>
      <c r="AD14" s="56"/>
      <c r="AE14" s="56"/>
      <c r="AF14" s="56"/>
      <c r="AG14" s="48"/>
    </row>
    <row r="15" customFormat="false" ht="15" hidden="false" customHeight="false" outlineLevel="0" collapsed="false">
      <c r="B15" s="46"/>
      <c r="C15" s="70" t="n">
        <v>40</v>
      </c>
      <c r="D15" s="71" t="n">
        <v>4.177</v>
      </c>
      <c r="E15" s="50"/>
      <c r="F15" s="50"/>
      <c r="G15" s="50"/>
      <c r="H15" s="50"/>
      <c r="I15" s="50"/>
      <c r="J15" s="50"/>
      <c r="K15" s="55"/>
      <c r="L15" s="48"/>
      <c r="N15" s="46"/>
      <c r="O15" s="66"/>
      <c r="P15" s="66"/>
      <c r="Q15" s="66"/>
      <c r="R15" s="66"/>
      <c r="S15" s="66"/>
      <c r="T15" s="66"/>
      <c r="U15" s="66"/>
      <c r="V15" s="58"/>
      <c r="W15" s="58"/>
      <c r="X15" s="58"/>
      <c r="Y15" s="58"/>
      <c r="Z15" s="58"/>
      <c r="AA15" s="52"/>
      <c r="AB15" s="56"/>
      <c r="AC15" s="56"/>
      <c r="AD15" s="56"/>
      <c r="AE15" s="56"/>
      <c r="AF15" s="56"/>
      <c r="AG15" s="48"/>
    </row>
    <row r="16" customFormat="false" ht="12.8" hidden="false" customHeight="false" outlineLevel="0" collapsed="false">
      <c r="B16" s="46"/>
      <c r="C16" s="72" t="n">
        <v>45</v>
      </c>
      <c r="D16" s="73" t="n">
        <v>4.178</v>
      </c>
      <c r="E16" s="50"/>
      <c r="F16" s="50"/>
      <c r="G16" s="50"/>
      <c r="H16" s="50"/>
      <c r="I16" s="50"/>
      <c r="J16" s="50"/>
      <c r="K16" s="50"/>
      <c r="L16" s="48"/>
      <c r="N16" s="46"/>
      <c r="O16" s="74"/>
      <c r="P16" s="75"/>
      <c r="Q16" s="76"/>
      <c r="R16" s="62"/>
      <c r="S16" s="62"/>
      <c r="T16" s="62"/>
      <c r="U16" s="62"/>
      <c r="V16" s="62"/>
      <c r="W16" s="62"/>
      <c r="X16" s="62"/>
      <c r="Y16" s="62"/>
      <c r="Z16" s="62"/>
      <c r="AA16" s="52"/>
      <c r="AB16" s="50"/>
      <c r="AC16" s="50"/>
      <c r="AD16" s="50"/>
      <c r="AE16" s="50"/>
      <c r="AF16" s="50"/>
      <c r="AG16" s="48"/>
    </row>
    <row r="17" customFormat="false" ht="15" hidden="false" customHeight="false" outlineLevel="0" collapsed="false">
      <c r="B17" s="46"/>
      <c r="C17" s="64" t="n">
        <v>50</v>
      </c>
      <c r="D17" s="65" t="n">
        <v>4.18</v>
      </c>
      <c r="E17" s="50"/>
      <c r="F17" s="50"/>
      <c r="G17" s="50"/>
      <c r="H17" s="50"/>
      <c r="I17" s="50"/>
      <c r="J17" s="50"/>
      <c r="K17" s="50"/>
      <c r="L17" s="48"/>
      <c r="N17" s="46"/>
      <c r="O17" s="77" t="s">
        <v>51</v>
      </c>
      <c r="P17" s="50"/>
      <c r="Q17" s="50"/>
      <c r="R17" s="50"/>
      <c r="S17" s="50"/>
      <c r="T17" s="50"/>
      <c r="U17" s="50"/>
      <c r="V17" s="50"/>
      <c r="W17" s="50"/>
      <c r="X17" s="50"/>
      <c r="Y17" s="50"/>
      <c r="Z17" s="50"/>
      <c r="AA17" s="52"/>
      <c r="AB17" s="50"/>
      <c r="AC17" s="50"/>
      <c r="AD17" s="50"/>
      <c r="AE17" s="50"/>
      <c r="AF17" s="50"/>
      <c r="AG17" s="48"/>
    </row>
    <row r="18" customFormat="false" ht="12.8" hidden="false" customHeight="false" outlineLevel="0" collapsed="false">
      <c r="B18" s="46"/>
      <c r="C18" s="64" t="n">
        <v>55</v>
      </c>
      <c r="D18" s="65" t="n">
        <v>4.182</v>
      </c>
      <c r="E18" s="50"/>
      <c r="F18" s="50"/>
      <c r="G18" s="50"/>
      <c r="H18" s="50"/>
      <c r="I18" s="50"/>
      <c r="J18" s="50"/>
      <c r="K18" s="50"/>
      <c r="L18" s="48"/>
      <c r="N18" s="46"/>
      <c r="O18" s="50"/>
      <c r="P18" s="50"/>
      <c r="Q18" s="78" t="s">
        <v>52</v>
      </c>
      <c r="R18" s="78"/>
      <c r="S18" s="78"/>
      <c r="T18" s="78"/>
      <c r="U18" s="78"/>
      <c r="V18" s="78" t="s">
        <v>53</v>
      </c>
      <c r="W18" s="78"/>
      <c r="X18" s="78"/>
      <c r="Y18" s="78"/>
      <c r="Z18" s="78"/>
      <c r="AA18" s="52"/>
      <c r="AB18" s="50"/>
      <c r="AC18" s="50"/>
      <c r="AD18" s="50"/>
      <c r="AE18" s="50"/>
      <c r="AF18" s="50"/>
      <c r="AG18" s="48"/>
    </row>
    <row r="19" customFormat="false" ht="14.65" hidden="false" customHeight="true" outlineLevel="0" collapsed="false">
      <c r="B19" s="46"/>
      <c r="C19" s="64" t="n">
        <v>60</v>
      </c>
      <c r="D19" s="65" t="n">
        <v>4.184</v>
      </c>
      <c r="E19" s="50"/>
      <c r="F19" s="50"/>
      <c r="G19" s="79" t="s">
        <v>54</v>
      </c>
      <c r="H19" s="79"/>
      <c r="I19" s="79"/>
      <c r="J19" s="79"/>
      <c r="K19" s="79"/>
      <c r="L19" s="80"/>
      <c r="N19" s="46"/>
      <c r="O19" s="81" t="s">
        <v>55</v>
      </c>
      <c r="P19" s="82" t="n">
        <v>45397</v>
      </c>
      <c r="Q19" s="54" t="n">
        <v>1</v>
      </c>
      <c r="R19" s="54" t="n">
        <v>2</v>
      </c>
      <c r="S19" s="54" t="n">
        <v>3</v>
      </c>
      <c r="T19" s="54" t="n">
        <v>4</v>
      </c>
      <c r="U19" s="54" t="n">
        <v>5</v>
      </c>
      <c r="V19" s="54" t="n">
        <v>1</v>
      </c>
      <c r="W19" s="54" t="n">
        <v>2</v>
      </c>
      <c r="X19" s="54" t="n">
        <v>3</v>
      </c>
      <c r="Y19" s="54" t="n">
        <v>4</v>
      </c>
      <c r="Z19" s="54" t="n">
        <v>5</v>
      </c>
      <c r="AA19" s="52"/>
      <c r="AB19" s="50"/>
      <c r="AC19" s="50"/>
      <c r="AD19" s="50"/>
      <c r="AE19" s="50"/>
      <c r="AF19" s="50"/>
      <c r="AG19" s="48"/>
    </row>
    <row r="20" customFormat="false" ht="12.8" hidden="false" customHeight="false" outlineLevel="0" collapsed="false">
      <c r="B20" s="46"/>
      <c r="C20" s="64"/>
      <c r="D20" s="65"/>
      <c r="E20" s="50"/>
      <c r="F20" s="50"/>
      <c r="G20" s="79"/>
      <c r="H20" s="79"/>
      <c r="I20" s="79"/>
      <c r="J20" s="79"/>
      <c r="K20" s="79"/>
      <c r="L20" s="80"/>
      <c r="N20" s="46"/>
      <c r="O20" s="83" t="s">
        <v>56</v>
      </c>
      <c r="P20" s="50" t="s">
        <v>57</v>
      </c>
      <c r="Q20" s="84" t="n">
        <v>299.98</v>
      </c>
      <c r="R20" s="84" t="n">
        <v>299.95</v>
      </c>
      <c r="S20" s="84" t="n">
        <v>300.05</v>
      </c>
      <c r="T20" s="84" t="n">
        <v>300.06</v>
      </c>
      <c r="U20" s="84" t="n">
        <v>300.02</v>
      </c>
      <c r="V20" s="41" t="n">
        <v>299.99</v>
      </c>
      <c r="W20" s="41" t="n">
        <v>300.08</v>
      </c>
      <c r="X20" s="41" t="n">
        <v>300.06</v>
      </c>
      <c r="Y20" s="41" t="n">
        <v>299.99</v>
      </c>
      <c r="Z20" s="41" t="n">
        <v>300.01</v>
      </c>
      <c r="AA20" s="52"/>
      <c r="AB20" s="50"/>
      <c r="AC20" s="50"/>
      <c r="AD20" s="50"/>
      <c r="AE20" s="50"/>
      <c r="AF20" s="50"/>
      <c r="AG20" s="48"/>
    </row>
    <row r="21" customFormat="false" ht="13.25" hidden="false" customHeight="false" outlineLevel="0" collapsed="false">
      <c r="B21" s="46"/>
      <c r="C21" s="85" t="s">
        <v>58</v>
      </c>
      <c r="D21" s="86" t="s">
        <v>59</v>
      </c>
      <c r="E21" s="87" t="n">
        <f aca="false">D14</f>
        <v>4.177</v>
      </c>
      <c r="F21" s="50"/>
      <c r="G21" s="79"/>
      <c r="H21" s="79"/>
      <c r="I21" s="79"/>
      <c r="J21" s="79"/>
      <c r="K21" s="79"/>
      <c r="L21" s="80"/>
      <c r="N21" s="46"/>
      <c r="O21" s="83" t="s">
        <v>60</v>
      </c>
      <c r="P21" s="50" t="s">
        <v>41</v>
      </c>
      <c r="Q21" s="84" t="n">
        <v>24.5</v>
      </c>
      <c r="R21" s="84" t="n">
        <v>26.3</v>
      </c>
      <c r="S21" s="84" t="n">
        <v>24.6</v>
      </c>
      <c r="T21" s="84" t="n">
        <v>26.3</v>
      </c>
      <c r="U21" s="84" t="n">
        <v>25.2</v>
      </c>
      <c r="V21" s="41" t="n">
        <v>25.7</v>
      </c>
      <c r="W21" s="41" t="n">
        <v>27.9</v>
      </c>
      <c r="X21" s="41" t="n">
        <v>25.6</v>
      </c>
      <c r="Y21" s="41" t="n">
        <v>25.6</v>
      </c>
      <c r="Z21" s="41" t="n">
        <v>25.7</v>
      </c>
      <c r="AA21" s="52"/>
      <c r="AB21" s="50"/>
      <c r="AC21" s="50"/>
      <c r="AD21" s="50"/>
      <c r="AE21" s="50"/>
      <c r="AF21" s="50"/>
      <c r="AG21" s="48"/>
    </row>
    <row r="22" customFormat="false" ht="13.25" hidden="false" customHeight="false" outlineLevel="0" collapsed="false">
      <c r="B22" s="88"/>
      <c r="C22" s="89"/>
      <c r="D22" s="89"/>
      <c r="E22" s="89"/>
      <c r="F22" s="89"/>
      <c r="G22" s="89"/>
      <c r="H22" s="89"/>
      <c r="I22" s="89"/>
      <c r="J22" s="89"/>
      <c r="K22" s="89"/>
      <c r="L22" s="90"/>
      <c r="N22" s="46"/>
      <c r="O22" s="83" t="s">
        <v>61</v>
      </c>
      <c r="P22" s="50" t="s">
        <v>41</v>
      </c>
      <c r="Q22" s="84" t="n">
        <v>26.6</v>
      </c>
      <c r="R22" s="84" t="n">
        <v>30.5</v>
      </c>
      <c r="S22" s="84" t="n">
        <v>31.2</v>
      </c>
      <c r="T22" s="84" t="n">
        <v>34.8</v>
      </c>
      <c r="U22" s="84" t="n">
        <v>36.2</v>
      </c>
      <c r="V22" s="41" t="n">
        <v>27.9</v>
      </c>
      <c r="W22" s="41" t="n">
        <v>32.1</v>
      </c>
      <c r="X22" s="41" t="n">
        <v>32.3</v>
      </c>
      <c r="Y22" s="41" t="n">
        <v>34.4</v>
      </c>
      <c r="Z22" s="41" t="n">
        <v>36.7</v>
      </c>
      <c r="AA22" s="52"/>
      <c r="AB22" s="50"/>
      <c r="AC22" s="50"/>
      <c r="AD22" s="50"/>
      <c r="AE22" s="50"/>
      <c r="AF22" s="50"/>
      <c r="AG22" s="48"/>
    </row>
    <row r="23" customFormat="false" ht="13.25" hidden="false" customHeight="false" outlineLevel="0" collapsed="false">
      <c r="N23" s="46"/>
      <c r="O23" s="83" t="s">
        <v>39</v>
      </c>
      <c r="P23" s="50" t="s">
        <v>62</v>
      </c>
      <c r="Q23" s="84" t="n">
        <v>4.177</v>
      </c>
      <c r="R23" s="84" t="n">
        <v>4.177</v>
      </c>
      <c r="S23" s="84" t="n">
        <v>4.177</v>
      </c>
      <c r="T23" s="84" t="n">
        <v>4.117</v>
      </c>
      <c r="U23" s="84" t="n">
        <v>4.177</v>
      </c>
      <c r="V23" s="41" t="n">
        <v>4.177</v>
      </c>
      <c r="W23" s="41" t="n">
        <v>4.177</v>
      </c>
      <c r="X23" s="41" t="n">
        <v>4.177</v>
      </c>
      <c r="Y23" s="41" t="n">
        <v>4.177</v>
      </c>
      <c r="Z23" s="41" t="n">
        <v>4.177</v>
      </c>
      <c r="AA23" s="52"/>
      <c r="AB23" s="50"/>
      <c r="AC23" s="50"/>
      <c r="AD23" s="50"/>
      <c r="AE23" s="50"/>
      <c r="AF23" s="50"/>
      <c r="AG23" s="48"/>
    </row>
    <row r="24" customFormat="false" ht="13.25" hidden="false" customHeight="false" outlineLevel="0" collapsed="false">
      <c r="B24" s="42"/>
      <c r="C24" s="43"/>
      <c r="D24" s="43"/>
      <c r="E24" s="43"/>
      <c r="F24" s="43"/>
      <c r="G24" s="43"/>
      <c r="H24" s="43"/>
      <c r="I24" s="43"/>
      <c r="J24" s="43"/>
      <c r="K24" s="43"/>
      <c r="L24" s="44"/>
      <c r="N24" s="46"/>
      <c r="O24" s="91" t="s">
        <v>63</v>
      </c>
      <c r="P24" s="50" t="s">
        <v>64</v>
      </c>
      <c r="Q24" s="50" t="n">
        <f aca="false">Q22-Q21</f>
        <v>2.1</v>
      </c>
      <c r="R24" s="50" t="n">
        <f aca="false">R22-R21</f>
        <v>4.2</v>
      </c>
      <c r="S24" s="50" t="n">
        <f aca="false">S22-S21</f>
        <v>6.6</v>
      </c>
      <c r="T24" s="50" t="n">
        <f aca="false">T22-T21</f>
        <v>8.5</v>
      </c>
      <c r="U24" s="50" t="n">
        <f aca="false">U22-U21</f>
        <v>11</v>
      </c>
      <c r="V24" s="50" t="n">
        <f aca="false">V22-V21</f>
        <v>2.2</v>
      </c>
      <c r="W24" s="92" t="n">
        <f aca="false">W22-W21</f>
        <v>4.2</v>
      </c>
      <c r="X24" s="50" t="n">
        <f aca="false">X22-X21</f>
        <v>6.7</v>
      </c>
      <c r="Y24" s="50" t="n">
        <f aca="false">Y22-Y21</f>
        <v>8.8</v>
      </c>
      <c r="Z24" s="50" t="n">
        <f aca="false">Z22-Z21</f>
        <v>11</v>
      </c>
      <c r="AA24" s="52"/>
      <c r="AB24" s="50"/>
      <c r="AC24" s="50"/>
      <c r="AD24" s="50"/>
      <c r="AE24" s="50"/>
      <c r="AF24" s="50"/>
      <c r="AG24" s="48"/>
    </row>
    <row r="25" customFormat="false" ht="18.55" hidden="false" customHeight="false" outlineLevel="0" collapsed="false">
      <c r="B25" s="46"/>
      <c r="C25" s="49" t="s">
        <v>65</v>
      </c>
      <c r="D25" s="50"/>
      <c r="E25" s="50"/>
      <c r="F25" s="50"/>
      <c r="G25" s="50"/>
      <c r="H25" s="50"/>
      <c r="I25" s="50"/>
      <c r="J25" s="50"/>
      <c r="K25" s="50"/>
      <c r="L25" s="48"/>
      <c r="N25" s="46"/>
      <c r="O25" s="83" t="s">
        <v>66</v>
      </c>
      <c r="P25" s="50" t="s">
        <v>67</v>
      </c>
      <c r="Q25" s="50" t="n">
        <v>60</v>
      </c>
      <c r="R25" s="50" t="n">
        <v>120</v>
      </c>
      <c r="S25" s="50" t="n">
        <v>180</v>
      </c>
      <c r="T25" s="50" t="n">
        <v>240</v>
      </c>
      <c r="U25" s="50" t="n">
        <v>300</v>
      </c>
      <c r="V25" s="50" t="n">
        <v>60</v>
      </c>
      <c r="W25" s="50" t="n">
        <v>120</v>
      </c>
      <c r="X25" s="50" t="n">
        <v>180</v>
      </c>
      <c r="Y25" s="50" t="n">
        <v>240</v>
      </c>
      <c r="Z25" s="50" t="n">
        <v>300</v>
      </c>
      <c r="AA25" s="52"/>
      <c r="AB25" s="50"/>
      <c r="AC25" s="50"/>
      <c r="AD25" s="50"/>
      <c r="AE25" s="50"/>
      <c r="AF25" s="50"/>
      <c r="AG25" s="48"/>
    </row>
    <row r="26" customFormat="false" ht="12.8" hidden="false" customHeight="false" outlineLevel="0" collapsed="false">
      <c r="B26" s="46"/>
      <c r="C26" s="50"/>
      <c r="D26" s="50"/>
      <c r="E26" s="50"/>
      <c r="F26" s="50"/>
      <c r="G26" s="50"/>
      <c r="H26" s="50"/>
      <c r="I26" s="50"/>
      <c r="J26" s="50"/>
      <c r="K26" s="50"/>
      <c r="L26" s="48"/>
      <c r="N26" s="46"/>
      <c r="O26" s="93" t="s">
        <v>68</v>
      </c>
      <c r="P26" s="94" t="s">
        <v>69</v>
      </c>
      <c r="Q26" s="94" t="n">
        <f aca="false">(Q20*Q23+'Sonotrode calibration'!$I$45)*(Q24/Q25)</f>
        <v>48.5543261</v>
      </c>
      <c r="R26" s="94" t="n">
        <f aca="false">(R20*R23+'Sonotrode calibration'!$I$45)*(R24/R25)</f>
        <v>48.54994025</v>
      </c>
      <c r="S26" s="94" t="n">
        <f aca="false">(S20*S23+'Sonotrode calibration'!$I$45)*(S24/S25)</f>
        <v>50.8771578333333</v>
      </c>
      <c r="T26" s="94" t="n">
        <f aca="false">(T20*T23+'Sonotrode calibration'!$I$45)*(T24/T25)</f>
        <v>48.506561125</v>
      </c>
      <c r="U26" s="94" t="n">
        <f aca="false">(U20*U23+'Sonotrode calibration'!$I$45)*(U24/U25)</f>
        <v>50.8725631333333</v>
      </c>
      <c r="V26" s="94" t="n">
        <f aca="false">(V20*V23+'Sonotrode calibration'!$I$45)*(V24/V25)</f>
        <v>50.8679684333333</v>
      </c>
      <c r="W26" s="94" t="n">
        <f aca="false">(W20*W23+'Sonotrode calibration'!$I$45)*(W24/W25)</f>
        <v>48.5689456</v>
      </c>
      <c r="X26" s="94" t="n">
        <f aca="false">(X20*X23+'Sonotrode calibration'!$I$45)*(X24/X25)</f>
        <v>51.6495786333333</v>
      </c>
      <c r="Y26" s="94" t="n">
        <f aca="false">(Y20*Y23+'Sonotrode calibration'!$I$45)*(Y24/Y25)</f>
        <v>50.8679684333333</v>
      </c>
      <c r="Z26" s="94" t="n">
        <f aca="false">(Z20*Z23+'Sonotrode calibration'!$I$45)*(Z24/Z25)</f>
        <v>50.8710315666667</v>
      </c>
      <c r="AA26" s="52"/>
      <c r="AB26" s="50"/>
      <c r="AC26" s="50"/>
      <c r="AD26" s="50"/>
      <c r="AE26" s="50"/>
      <c r="AF26" s="50"/>
      <c r="AG26" s="48"/>
    </row>
    <row r="27" customFormat="false" ht="13.25" hidden="false" customHeight="false" outlineLevel="0" collapsed="false">
      <c r="B27" s="46"/>
      <c r="C27" s="50"/>
      <c r="D27" s="50"/>
      <c r="E27" s="50"/>
      <c r="F27" s="50"/>
      <c r="G27" s="50"/>
      <c r="H27" s="50"/>
      <c r="I27" s="50"/>
      <c r="J27" s="50"/>
      <c r="K27" s="50"/>
      <c r="L27" s="48"/>
      <c r="N27" s="46"/>
      <c r="O27" s="95" t="s">
        <v>70</v>
      </c>
      <c r="P27" s="96" t="s">
        <v>69</v>
      </c>
      <c r="Q27" s="97" t="n">
        <f aca="false">AVERAGE(Q26:Z26)</f>
        <v>50.0186041108333</v>
      </c>
      <c r="R27" s="50"/>
      <c r="S27" s="50"/>
      <c r="T27" s="50"/>
      <c r="U27" s="50"/>
      <c r="V27" s="50"/>
      <c r="W27" s="50"/>
      <c r="X27" s="50"/>
      <c r="Y27" s="50"/>
      <c r="Z27" s="50"/>
      <c r="AA27" s="52"/>
      <c r="AB27" s="50"/>
      <c r="AC27" s="50"/>
      <c r="AD27" s="50"/>
      <c r="AE27" s="50"/>
      <c r="AF27" s="50"/>
      <c r="AG27" s="48"/>
    </row>
    <row r="28" customFormat="false" ht="13.25" hidden="false" customHeight="false" outlineLevel="0" collapsed="false">
      <c r="B28" s="46"/>
      <c r="C28" s="50"/>
      <c r="D28" s="50"/>
      <c r="E28" s="50"/>
      <c r="F28" s="50"/>
      <c r="G28" s="50"/>
      <c r="H28" s="50"/>
      <c r="I28" s="50"/>
      <c r="J28" s="50"/>
      <c r="K28" s="50"/>
      <c r="L28" s="48"/>
      <c r="N28" s="46"/>
      <c r="O28" s="98" t="s">
        <v>71</v>
      </c>
      <c r="P28" s="99" t="s">
        <v>69</v>
      </c>
      <c r="Q28" s="100" t="n">
        <f aca="false">STDEV(Q26:Z26)</f>
        <v>1.29033922714012</v>
      </c>
      <c r="R28" s="50"/>
      <c r="S28" s="50"/>
      <c r="T28" s="50"/>
      <c r="U28" s="50"/>
      <c r="V28" s="50"/>
      <c r="W28" s="50"/>
      <c r="X28" s="50"/>
      <c r="Y28" s="50"/>
      <c r="Z28" s="50"/>
      <c r="AA28" s="52"/>
      <c r="AB28" s="50"/>
      <c r="AC28" s="50"/>
      <c r="AD28" s="50"/>
      <c r="AE28" s="50"/>
      <c r="AF28" s="50"/>
      <c r="AG28" s="48"/>
    </row>
    <row r="29" customFormat="false" ht="12.8" hidden="false" customHeight="false" outlineLevel="0" collapsed="false">
      <c r="B29" s="46"/>
      <c r="C29" s="50"/>
      <c r="D29" s="50"/>
      <c r="E29" s="50"/>
      <c r="F29" s="50"/>
      <c r="G29" s="50"/>
      <c r="H29" s="50"/>
      <c r="I29" s="50"/>
      <c r="J29" s="50"/>
      <c r="K29" s="50"/>
      <c r="L29" s="48"/>
      <c r="N29" s="88"/>
      <c r="O29" s="89"/>
      <c r="P29" s="89"/>
      <c r="Q29" s="89"/>
      <c r="R29" s="89"/>
      <c r="S29" s="89"/>
      <c r="T29" s="89"/>
      <c r="U29" s="89"/>
      <c r="V29" s="89"/>
      <c r="W29" s="89"/>
      <c r="X29" s="89"/>
      <c r="Y29" s="89"/>
      <c r="Z29" s="89"/>
      <c r="AA29" s="89"/>
      <c r="AB29" s="89"/>
      <c r="AC29" s="89"/>
      <c r="AD29" s="89"/>
      <c r="AE29" s="89"/>
      <c r="AF29" s="89"/>
      <c r="AG29" s="90"/>
    </row>
    <row r="30" customFormat="false" ht="14.65" hidden="false" customHeight="false" outlineLevel="0" collapsed="false">
      <c r="B30" s="46"/>
      <c r="C30" s="50"/>
      <c r="D30" s="50"/>
      <c r="E30" s="50"/>
      <c r="F30" s="50"/>
      <c r="G30" s="50"/>
      <c r="H30" s="50"/>
      <c r="I30" s="50"/>
      <c r="J30" s="50"/>
      <c r="K30" s="50"/>
      <c r="L30" s="48"/>
    </row>
    <row r="31" customFormat="false" ht="14.65" hidden="false" customHeight="false" outlineLevel="0" collapsed="false">
      <c r="B31" s="46"/>
      <c r="C31" s="50"/>
      <c r="D31" s="50"/>
      <c r="E31" s="50"/>
      <c r="F31" s="50"/>
      <c r="G31" s="50"/>
      <c r="H31" s="50"/>
      <c r="I31" s="50"/>
      <c r="J31" s="50"/>
      <c r="K31" s="50"/>
      <c r="L31" s="48"/>
    </row>
    <row r="32" customFormat="false" ht="14.65" hidden="false" customHeight="false" outlineLevel="0" collapsed="false">
      <c r="B32" s="46"/>
      <c r="C32" s="50"/>
      <c r="D32" s="50"/>
      <c r="E32" s="50"/>
      <c r="F32" s="50"/>
      <c r="G32" s="50"/>
      <c r="H32" s="50"/>
      <c r="I32" s="50"/>
      <c r="J32" s="50"/>
      <c r="K32" s="50"/>
      <c r="L32" s="48"/>
    </row>
    <row r="33" customFormat="false" ht="14.65" hidden="false" customHeight="false" outlineLevel="0" collapsed="false">
      <c r="B33" s="46"/>
      <c r="C33" s="50"/>
      <c r="D33" s="50"/>
      <c r="E33" s="50"/>
      <c r="F33" s="50"/>
      <c r="G33" s="50"/>
      <c r="H33" s="50"/>
      <c r="I33" s="50"/>
      <c r="J33" s="50"/>
      <c r="K33" s="50"/>
      <c r="L33" s="48"/>
    </row>
    <row r="34" customFormat="false" ht="14.65" hidden="false" customHeight="false" outlineLevel="0" collapsed="false">
      <c r="B34" s="46"/>
      <c r="C34" s="50"/>
      <c r="D34" s="50"/>
      <c r="E34" s="50"/>
      <c r="F34" s="50"/>
      <c r="G34" s="50"/>
      <c r="H34" s="50"/>
      <c r="I34" s="50"/>
      <c r="J34" s="50"/>
      <c r="K34" s="50"/>
      <c r="L34" s="48"/>
    </row>
    <row r="35" customFormat="false" ht="14.65" hidden="false" customHeight="false" outlineLevel="0" collapsed="false">
      <c r="B35" s="46"/>
      <c r="C35" s="54" t="s">
        <v>72</v>
      </c>
      <c r="D35" s="54" t="s">
        <v>73</v>
      </c>
      <c r="E35" s="54" t="s">
        <v>74</v>
      </c>
      <c r="F35" s="54" t="s">
        <v>75</v>
      </c>
      <c r="G35" s="54" t="s">
        <v>76</v>
      </c>
      <c r="H35" s="54" t="s">
        <v>77</v>
      </c>
      <c r="I35" s="54" t="s">
        <v>78</v>
      </c>
      <c r="J35" s="54"/>
      <c r="K35" s="54"/>
      <c r="L35" s="48"/>
    </row>
    <row r="36" customFormat="false" ht="14.65" hidden="false" customHeight="false" outlineLevel="0" collapsed="false">
      <c r="B36" s="46"/>
      <c r="C36" s="54" t="s">
        <v>79</v>
      </c>
      <c r="D36" s="54" t="s">
        <v>41</v>
      </c>
      <c r="E36" s="54" t="s">
        <v>57</v>
      </c>
      <c r="F36" s="54" t="s">
        <v>41</v>
      </c>
      <c r="G36" s="54" t="s">
        <v>57</v>
      </c>
      <c r="H36" s="54" t="s">
        <v>41</v>
      </c>
      <c r="I36" s="54" t="s">
        <v>80</v>
      </c>
      <c r="J36" s="54"/>
      <c r="K36" s="54"/>
      <c r="L36" s="48"/>
    </row>
    <row r="37" customFormat="false" ht="14.65" hidden="false" customHeight="false" outlineLevel="0" collapsed="false">
      <c r="B37" s="46"/>
      <c r="C37" s="64" t="n">
        <v>1</v>
      </c>
      <c r="D37" s="101" t="n">
        <v>27.4</v>
      </c>
      <c r="E37" s="102" t="n">
        <v>202.02</v>
      </c>
      <c r="F37" s="101" t="n">
        <v>47.9</v>
      </c>
      <c r="G37" s="102" t="n">
        <v>201.07</v>
      </c>
      <c r="H37" s="101" t="n">
        <v>36.8</v>
      </c>
      <c r="I37" s="101" t="n">
        <f aca="false">ROUND((G37*$E$21*((F37-H37)/(H37-D37)))-(E37*$E$21),1)</f>
        <v>147.9</v>
      </c>
      <c r="J37" s="50"/>
      <c r="K37" s="50"/>
      <c r="L37" s="48"/>
    </row>
    <row r="38" customFormat="false" ht="14.65" hidden="false" customHeight="false" outlineLevel="0" collapsed="false">
      <c r="B38" s="46"/>
      <c r="C38" s="64" t="n">
        <v>2</v>
      </c>
      <c r="D38" s="101" t="n">
        <v>28.7</v>
      </c>
      <c r="E38" s="102" t="n">
        <v>194.99</v>
      </c>
      <c r="F38" s="101" t="n">
        <v>59</v>
      </c>
      <c r="G38" s="102" t="n">
        <v>203.92</v>
      </c>
      <c r="H38" s="101" t="n">
        <v>43</v>
      </c>
      <c r="I38" s="101" t="n">
        <f aca="false">ROUND((G38*$E$21*((F38-H38)/(H38-D38)))-(E38*$E$21),1)</f>
        <v>138.6</v>
      </c>
      <c r="J38" s="50"/>
      <c r="K38" s="50"/>
      <c r="L38" s="48"/>
    </row>
    <row r="39" customFormat="false" ht="14.65" hidden="false" customHeight="false" outlineLevel="0" collapsed="false">
      <c r="B39" s="46"/>
      <c r="C39" s="64" t="n">
        <v>3</v>
      </c>
      <c r="D39" s="101" t="n">
        <v>28.1</v>
      </c>
      <c r="E39" s="102" t="n">
        <v>225.64</v>
      </c>
      <c r="F39" s="101" t="n">
        <v>57.5</v>
      </c>
      <c r="G39" s="102" t="n">
        <v>165.69</v>
      </c>
      <c r="H39" s="101" t="n">
        <v>39.6</v>
      </c>
      <c r="I39" s="101" t="n">
        <f aca="false">ROUND((G39*$E$21*((F39-H39)/(H39-D39)))-(E39*$E$21),1)</f>
        <v>134.8</v>
      </c>
      <c r="J39" s="50"/>
      <c r="K39" s="50"/>
      <c r="L39" s="48"/>
    </row>
    <row r="40" customFormat="false" ht="14.65" hidden="false" customHeight="false" outlineLevel="0" collapsed="false">
      <c r="B40" s="46"/>
      <c r="C40" s="64" t="n">
        <v>4</v>
      </c>
      <c r="D40" s="101" t="n">
        <v>28.4</v>
      </c>
      <c r="E40" s="102" t="n">
        <v>149.75</v>
      </c>
      <c r="F40" s="101" t="n">
        <v>49.3</v>
      </c>
      <c r="G40" s="102" t="n">
        <v>245.4</v>
      </c>
      <c r="H40" s="101" t="n">
        <v>40.5</v>
      </c>
      <c r="I40" s="101" t="n">
        <f aca="false">ROUND((G40*$E$21*((F40-H40)/(H40-D40)))-(E40*$E$21),1)</f>
        <v>120</v>
      </c>
      <c r="J40" s="50"/>
      <c r="K40" s="50"/>
      <c r="L40" s="48"/>
    </row>
    <row r="41" customFormat="false" ht="14.65" hidden="false" customHeight="false" outlineLevel="0" collapsed="false">
      <c r="B41" s="46"/>
      <c r="C41" s="64" t="n">
        <v>5</v>
      </c>
      <c r="D41" s="101" t="n">
        <v>29.7</v>
      </c>
      <c r="E41" s="102" t="n">
        <v>199.14</v>
      </c>
      <c r="F41" s="101" t="n">
        <v>41.3</v>
      </c>
      <c r="G41" s="102" t="n">
        <v>199.4</v>
      </c>
      <c r="H41" s="101" t="n">
        <v>35.1</v>
      </c>
      <c r="I41" s="101" t="n">
        <f aca="false">ROUND((G41*$E$21*((F41-H41)/(H41-D41)))-(E41*$E$21),1)</f>
        <v>124.5</v>
      </c>
      <c r="J41" s="50"/>
      <c r="K41" s="50"/>
      <c r="L41" s="48"/>
    </row>
    <row r="42" customFormat="false" ht="14.65" hidden="false" customHeight="false" outlineLevel="0" collapsed="false">
      <c r="B42" s="46"/>
      <c r="C42" s="64" t="n">
        <v>6</v>
      </c>
      <c r="D42" s="101" t="n">
        <v>30.6</v>
      </c>
      <c r="E42" s="102" t="n">
        <v>149.61</v>
      </c>
      <c r="F42" s="101" t="n">
        <v>59.7</v>
      </c>
      <c r="G42" s="102" t="n">
        <v>148.9</v>
      </c>
      <c r="H42" s="101" t="n">
        <v>43.7</v>
      </c>
      <c r="I42" s="101" t="n">
        <f aca="false">ROUND((G42*$E$21*((F42-H42)/(H42-D42)))-(E42*$E$21),1)</f>
        <v>134.7</v>
      </c>
      <c r="J42" s="50"/>
      <c r="K42" s="50"/>
      <c r="L42" s="48"/>
    </row>
    <row r="43" customFormat="false" ht="14.65" hidden="false" customHeight="false" outlineLevel="0" collapsed="false">
      <c r="B43" s="46"/>
      <c r="C43" s="64" t="n">
        <v>7</v>
      </c>
      <c r="D43" s="101" t="n">
        <v>29.9</v>
      </c>
      <c r="E43" s="102" t="n">
        <v>149.35</v>
      </c>
      <c r="F43" s="101" t="n">
        <v>68</v>
      </c>
      <c r="G43" s="102" t="n">
        <v>148.7</v>
      </c>
      <c r="H43" s="101" t="n">
        <v>47</v>
      </c>
      <c r="I43" s="101" t="n">
        <f aca="false">ROUND((G43*$E$21*((F43-H43)/(H43-D43)))-(E43*$E$21),1)</f>
        <v>138.9</v>
      </c>
      <c r="J43" s="50"/>
      <c r="K43" s="50"/>
      <c r="L43" s="48"/>
    </row>
    <row r="44" customFormat="false" ht="14.65" hidden="false" customHeight="false" outlineLevel="0" collapsed="false">
      <c r="B44" s="46"/>
      <c r="C44" s="64" t="n">
        <v>8</v>
      </c>
      <c r="D44" s="101" t="n">
        <v>27.1</v>
      </c>
      <c r="E44" s="102" t="n">
        <v>180.6</v>
      </c>
      <c r="F44" s="101" t="n">
        <v>55.3</v>
      </c>
      <c r="G44" s="102" t="n">
        <v>182.03</v>
      </c>
      <c r="H44" s="101" t="n">
        <v>40.1</v>
      </c>
      <c r="I44" s="101" t="n">
        <f aca="false">ROUND((G44*$E$21*((F44-H44)/(H44-D44)))-(E44*$E$21),1)</f>
        <v>134.6</v>
      </c>
      <c r="J44" s="50"/>
      <c r="K44" s="50"/>
      <c r="L44" s="48"/>
    </row>
    <row r="45" customFormat="false" ht="14.65" hidden="false" customHeight="false" outlineLevel="0" collapsed="false">
      <c r="B45" s="46"/>
      <c r="C45" s="50"/>
      <c r="D45" s="50"/>
      <c r="E45" s="50"/>
      <c r="F45" s="50"/>
      <c r="G45" s="50"/>
      <c r="H45" s="103" t="s">
        <v>81</v>
      </c>
      <c r="I45" s="104" t="n">
        <f aca="false">AVERAGE(I37:I44)</f>
        <v>134.25</v>
      </c>
      <c r="J45" s="105" t="s">
        <v>82</v>
      </c>
      <c r="K45" s="105"/>
      <c r="L45" s="48"/>
    </row>
    <row r="46" customFormat="false" ht="14.65" hidden="false" customHeight="false" outlineLevel="0" collapsed="false">
      <c r="B46" s="46"/>
      <c r="C46" s="50"/>
      <c r="D46" s="50"/>
      <c r="E46" s="50"/>
      <c r="F46" s="50"/>
      <c r="G46" s="50"/>
      <c r="H46" s="106" t="s">
        <v>83</v>
      </c>
      <c r="I46" s="107" t="n">
        <f aca="false">STDEV(I37:I44)</f>
        <v>8.66536620279671</v>
      </c>
      <c r="J46" s="50"/>
      <c r="K46" s="50"/>
      <c r="L46" s="48"/>
    </row>
    <row r="47" customFormat="false" ht="14.65" hidden="false" customHeight="false" outlineLevel="0" collapsed="false">
      <c r="B47" s="88"/>
      <c r="C47" s="89"/>
      <c r="D47" s="89"/>
      <c r="E47" s="89"/>
      <c r="F47" s="89"/>
      <c r="G47" s="89"/>
      <c r="H47" s="89"/>
      <c r="I47" s="89"/>
      <c r="J47" s="89"/>
      <c r="K47" s="89"/>
      <c r="L47" s="90"/>
    </row>
  </sheetData>
  <mergeCells count="7">
    <mergeCell ref="C3:K3"/>
    <mergeCell ref="K5:K15"/>
    <mergeCell ref="O8:U15"/>
    <mergeCell ref="Q18:U18"/>
    <mergeCell ref="V18:Z18"/>
    <mergeCell ref="G19:K21"/>
    <mergeCell ref="J45:K45"/>
  </mergeCells>
  <hyperlinks>
    <hyperlink ref="G19" r:id="rId1" display="These data of isobaric heat capacity are derived from VDI heat atlas and are nearly similar to other reference, e.g.:&#10;https://www.engineeringtoolbox.com/specific-heat-capacity-water-d_660.html"/>
  </hyperlinks>
  <printOptions headings="false" gridLines="false" gridLinesSet="true" horizontalCentered="false" verticalCentered="false"/>
  <pageMargins left="0.7875" right="0.7875" top="1.025" bottom="1.025" header="0.7875" footer="0.7875"/>
  <pageSetup paperSize="9" scale="100" fitToWidth="1" fitToHeight="1" pageOrder="downThenOver" orientation="landscape" blackAndWhite="false" draft="false" cellComments="none" horizontalDpi="300" verticalDpi="300" copies="1"/>
  <headerFooter differentFirst="false" differentOddEven="false">
    <oddHeader>&amp;C&amp;A</oddHeader>
    <oddFooter>&amp;CSeite &amp;P</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W24"/>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M45" activeCellId="0" sqref="M45"/>
    </sheetView>
  </sheetViews>
  <sheetFormatPr defaultColWidth="11.53515625" defaultRowHeight="14.65" zeroHeight="false" outlineLevelRow="0" outlineLevelCol="0"/>
  <cols>
    <col collapsed="false" customWidth="true" hidden="false" outlineLevel="0" max="1" min="1" style="1" width="2.61"/>
    <col collapsed="false" customWidth="true" hidden="false" outlineLevel="0" max="2" min="2" style="1" width="3.11"/>
    <col collapsed="false" customWidth="false" hidden="false" outlineLevel="0" max="3" min="3" style="1" width="11.52"/>
    <col collapsed="false" customWidth="true" hidden="false" outlineLevel="0" max="4" min="4" style="1" width="8.17"/>
    <col collapsed="false" customWidth="true" hidden="false" outlineLevel="0" max="5" min="5" style="108" width="8.14"/>
    <col collapsed="false" customWidth="true" hidden="false" outlineLevel="0" max="6" min="6" style="108" width="10.46"/>
    <col collapsed="false" customWidth="true" hidden="false" outlineLevel="0" max="7" min="7" style="108" width="11.28"/>
    <col collapsed="false" customWidth="true" hidden="false" outlineLevel="0" max="8" min="8" style="108" width="7.68"/>
    <col collapsed="false" customWidth="true" hidden="false" outlineLevel="0" max="9" min="9" style="108" width="10"/>
    <col collapsed="false" customWidth="true" hidden="false" outlineLevel="0" max="10" min="10" style="108" width="10.07"/>
    <col collapsed="false" customWidth="true" hidden="false" outlineLevel="0" max="11" min="11" style="108" width="9.63"/>
    <col collapsed="false" customWidth="true" hidden="false" outlineLevel="0" max="12" min="12" style="108" width="9.16"/>
    <col collapsed="false" customWidth="false" hidden="false" outlineLevel="0" max="13" min="13" style="108" width="11.52"/>
    <col collapsed="false" customWidth="true" hidden="false" outlineLevel="0" max="14" min="14" style="108" width="10.24"/>
    <col collapsed="false" customWidth="true" hidden="false" outlineLevel="0" max="15" min="15" style="108" width="10.93"/>
    <col collapsed="false" customWidth="true" hidden="false" outlineLevel="0" max="16" min="16" style="108" width="10.31"/>
    <col collapsed="false" customWidth="true" hidden="false" outlineLevel="0" max="17" min="17" style="1" width="3.11"/>
    <col collapsed="false" customWidth="true" hidden="false" outlineLevel="0" max="19" min="18" style="1" width="2.92"/>
    <col collapsed="false" customWidth="true" hidden="false" outlineLevel="0" max="20" min="20" style="1" width="27.78"/>
    <col collapsed="false" customWidth="false" hidden="false" outlineLevel="0" max="21" min="21" style="1" width="11.52"/>
    <col collapsed="false" customWidth="true" hidden="false" outlineLevel="0" max="22" min="22" style="1" width="6.33"/>
    <col collapsed="false" customWidth="true" hidden="false" outlineLevel="0" max="23" min="23" style="1" width="3.39"/>
    <col collapsed="false" customWidth="false" hidden="false" outlineLevel="0" max="1008" min="24" style="1" width="11.52"/>
  </cols>
  <sheetData>
    <row r="2" customFormat="false" ht="12.8" hidden="false" customHeight="false" outlineLevel="0" collapsed="false">
      <c r="B2" s="5"/>
      <c r="C2" s="6"/>
      <c r="D2" s="6"/>
      <c r="E2" s="109"/>
      <c r="F2" s="109"/>
      <c r="G2" s="109"/>
      <c r="H2" s="109"/>
      <c r="I2" s="109"/>
      <c r="J2" s="109"/>
      <c r="K2" s="109"/>
      <c r="L2" s="109"/>
      <c r="M2" s="109"/>
      <c r="N2" s="109"/>
      <c r="O2" s="109"/>
      <c r="P2" s="109"/>
      <c r="Q2" s="9"/>
      <c r="S2" s="5"/>
      <c r="T2" s="6"/>
      <c r="U2" s="6"/>
      <c r="V2" s="6"/>
      <c r="W2" s="9"/>
    </row>
    <row r="3" customFormat="false" ht="52.7" hidden="false" customHeight="true" outlineLevel="0" collapsed="false">
      <c r="B3" s="24"/>
      <c r="C3" s="14" t="s">
        <v>84</v>
      </c>
      <c r="D3" s="13" t="s">
        <v>85</v>
      </c>
      <c r="E3" s="110" t="s">
        <v>86</v>
      </c>
      <c r="F3" s="110" t="s">
        <v>87</v>
      </c>
      <c r="G3" s="110" t="s">
        <v>88</v>
      </c>
      <c r="H3" s="110" t="s">
        <v>89</v>
      </c>
      <c r="I3" s="110" t="s">
        <v>90</v>
      </c>
      <c r="J3" s="111" t="s">
        <v>91</v>
      </c>
      <c r="K3" s="110" t="s">
        <v>92</v>
      </c>
      <c r="L3" s="112" t="s">
        <v>93</v>
      </c>
      <c r="M3" s="113" t="s">
        <v>94</v>
      </c>
      <c r="N3" s="110" t="s">
        <v>95</v>
      </c>
      <c r="O3" s="110" t="s">
        <v>96</v>
      </c>
      <c r="P3" s="110" t="s">
        <v>97</v>
      </c>
      <c r="Q3" s="33"/>
      <c r="S3" s="24"/>
      <c r="T3" s="47" t="s">
        <v>98</v>
      </c>
      <c r="U3" s="47"/>
      <c r="V3" s="47"/>
      <c r="W3" s="114"/>
    </row>
    <row r="4" customFormat="false" ht="15" hidden="false" customHeight="false" outlineLevel="0" collapsed="false">
      <c r="B4" s="24"/>
      <c r="C4" s="115"/>
      <c r="D4" s="115"/>
      <c r="E4" s="116" t="s">
        <v>57</v>
      </c>
      <c r="F4" s="116" t="s">
        <v>57</v>
      </c>
      <c r="G4" s="116" t="s">
        <v>57</v>
      </c>
      <c r="H4" s="116" t="s">
        <v>57</v>
      </c>
      <c r="I4" s="117" t="s">
        <v>57</v>
      </c>
      <c r="J4" s="118" t="s">
        <v>99</v>
      </c>
      <c r="K4" s="116" t="s">
        <v>99</v>
      </c>
      <c r="L4" s="119" t="s">
        <v>100</v>
      </c>
      <c r="M4" s="120" t="s">
        <v>101</v>
      </c>
      <c r="N4" s="116" t="s">
        <v>102</v>
      </c>
      <c r="O4" s="116" t="s">
        <v>57</v>
      </c>
      <c r="P4" s="116" t="s">
        <v>57</v>
      </c>
      <c r="Q4" s="33"/>
      <c r="S4" s="24"/>
      <c r="T4" s="53"/>
      <c r="U4" s="50"/>
      <c r="V4" s="50"/>
      <c r="W4" s="114"/>
    </row>
    <row r="5" customFormat="false" ht="15" hidden="false" customHeight="false" outlineLevel="0" collapsed="false">
      <c r="B5" s="24"/>
      <c r="C5" s="50" t="s">
        <v>21</v>
      </c>
      <c r="D5" s="57" t="s">
        <v>103</v>
      </c>
      <c r="E5" s="121" t="n">
        <v>171.97</v>
      </c>
      <c r="F5" s="121" t="n">
        <v>302.34</v>
      </c>
      <c r="G5" s="121" t="n">
        <v>272.53</v>
      </c>
      <c r="H5" s="122" t="n">
        <f aca="false">F5-E5</f>
        <v>130.37</v>
      </c>
      <c r="I5" s="122" t="n">
        <f aca="false">G5-E5</f>
        <v>100.56</v>
      </c>
      <c r="J5" s="123" t="n">
        <f aca="false">100*(H5-I5)/I5</f>
        <v>29.6439936356404</v>
      </c>
      <c r="K5" s="122" t="n">
        <f aca="false">AVERAGE(J5:J9)</f>
        <v>30.1280735506853</v>
      </c>
      <c r="L5" s="124" t="n">
        <f aca="false">STDEV(J5:J9)</f>
        <v>1.0786932944816</v>
      </c>
      <c r="M5" s="125" t="n">
        <f aca="false">I5/100</f>
        <v>1.0056</v>
      </c>
      <c r="N5" s="122" t="n">
        <f aca="false">K5/100</f>
        <v>0.301280735506853</v>
      </c>
      <c r="O5" s="126" t="n">
        <f aca="false">20+20*N5</f>
        <v>26.0256147101371</v>
      </c>
      <c r="P5" s="127" t="n">
        <f aca="false">4+4*N5</f>
        <v>5.20512294202741</v>
      </c>
      <c r="Q5" s="33"/>
      <c r="S5" s="24"/>
      <c r="T5" s="53" t="s">
        <v>104</v>
      </c>
      <c r="U5" s="50"/>
      <c r="V5" s="50"/>
      <c r="W5" s="114"/>
    </row>
    <row r="6" customFormat="false" ht="12.8" hidden="false" customHeight="false" outlineLevel="0" collapsed="false">
      <c r="B6" s="24"/>
      <c r="C6" s="50"/>
      <c r="D6" s="57" t="s">
        <v>105</v>
      </c>
      <c r="E6" s="121" t="n">
        <v>159.93</v>
      </c>
      <c r="F6" s="121" t="n">
        <v>300.15</v>
      </c>
      <c r="G6" s="121" t="n">
        <v>267.83</v>
      </c>
      <c r="H6" s="122" t="n">
        <f aca="false">F6-E6</f>
        <v>140.22</v>
      </c>
      <c r="I6" s="122" t="n">
        <f aca="false">G6-E6</f>
        <v>107.9</v>
      </c>
      <c r="J6" s="123" t="n">
        <f aca="false">100*(H6-I6)/I6</f>
        <v>29.9536607970343</v>
      </c>
      <c r="K6" s="128"/>
      <c r="L6" s="129"/>
      <c r="M6" s="125" t="n">
        <f aca="false">I6/100</f>
        <v>1.079</v>
      </c>
      <c r="N6" s="128"/>
      <c r="O6" s="128"/>
      <c r="P6" s="128"/>
      <c r="Q6" s="33"/>
      <c r="S6" s="24"/>
      <c r="T6" s="50" t="s">
        <v>106</v>
      </c>
      <c r="U6" s="130" t="n">
        <v>20</v>
      </c>
      <c r="V6" s="131" t="s">
        <v>107</v>
      </c>
      <c r="W6" s="114"/>
    </row>
    <row r="7" customFormat="false" ht="12.8" hidden="false" customHeight="false" outlineLevel="0" collapsed="false">
      <c r="B7" s="24"/>
      <c r="C7" s="50"/>
      <c r="D7" s="57" t="s">
        <v>108</v>
      </c>
      <c r="E7" s="121" t="n">
        <v>115.86</v>
      </c>
      <c r="F7" s="121" t="n">
        <v>234.52</v>
      </c>
      <c r="G7" s="121" t="n">
        <v>207.57</v>
      </c>
      <c r="H7" s="122" t="n">
        <f aca="false">F7-E7</f>
        <v>118.66</v>
      </c>
      <c r="I7" s="122" t="n">
        <f aca="false">G7-E7</f>
        <v>91.71</v>
      </c>
      <c r="J7" s="123" t="n">
        <f aca="false">100*(H7-I7)/I7</f>
        <v>29.3861083851271</v>
      </c>
      <c r="K7" s="128"/>
      <c r="L7" s="129"/>
      <c r="M7" s="125" t="n">
        <f aca="false">I7/100</f>
        <v>0.9171</v>
      </c>
      <c r="N7" s="128"/>
      <c r="O7" s="128"/>
      <c r="P7" s="128"/>
      <c r="Q7" s="33"/>
      <c r="S7" s="24"/>
      <c r="T7" s="50" t="s">
        <v>109</v>
      </c>
      <c r="U7" s="130" t="n">
        <v>100</v>
      </c>
      <c r="V7" s="131" t="s">
        <v>110</v>
      </c>
      <c r="W7" s="114"/>
    </row>
    <row r="8" customFormat="false" ht="12.8" hidden="false" customHeight="false" outlineLevel="0" collapsed="false">
      <c r="B8" s="24"/>
      <c r="C8" s="50"/>
      <c r="D8" s="57" t="s">
        <v>111</v>
      </c>
      <c r="E8" s="121" t="n">
        <v>118.07</v>
      </c>
      <c r="F8" s="121" t="n">
        <v>253.99</v>
      </c>
      <c r="G8" s="121" t="n">
        <v>222.92</v>
      </c>
      <c r="H8" s="122" t="n">
        <f aca="false">F8-E8</f>
        <v>135.92</v>
      </c>
      <c r="I8" s="122" t="n">
        <f aca="false">G8-E8</f>
        <v>104.85</v>
      </c>
      <c r="J8" s="123" t="n">
        <f aca="false">100*(H8-I8)/I8</f>
        <v>29.6328087744397</v>
      </c>
      <c r="K8" s="128"/>
      <c r="L8" s="129"/>
      <c r="M8" s="125" t="n">
        <f aca="false">I8/100</f>
        <v>1.0485</v>
      </c>
      <c r="N8" s="128"/>
      <c r="O8" s="128"/>
      <c r="P8" s="128"/>
      <c r="Q8" s="33"/>
      <c r="S8" s="24"/>
      <c r="T8" s="50" t="s">
        <v>112</v>
      </c>
      <c r="U8" s="132" t="n">
        <v>1</v>
      </c>
      <c r="V8" s="131" t="s">
        <v>113</v>
      </c>
      <c r="W8" s="114"/>
    </row>
    <row r="9" customFormat="false" ht="14.9" hidden="false" customHeight="true" outlineLevel="0" collapsed="false">
      <c r="B9" s="24"/>
      <c r="C9" s="50"/>
      <c r="D9" s="57" t="s">
        <v>114</v>
      </c>
      <c r="E9" s="121" t="n">
        <v>187.88</v>
      </c>
      <c r="F9" s="121" t="n">
        <v>305.5</v>
      </c>
      <c r="G9" s="121" t="n">
        <v>276.97</v>
      </c>
      <c r="H9" s="122" t="n">
        <f aca="false">F9-E9</f>
        <v>117.62</v>
      </c>
      <c r="I9" s="122" t="n">
        <f aca="false">G9-E9</f>
        <v>89.09</v>
      </c>
      <c r="J9" s="123" t="n">
        <f aca="false">100*(H9-I9)/I9</f>
        <v>32.0237961611853</v>
      </c>
      <c r="K9" s="128"/>
      <c r="L9" s="129"/>
      <c r="M9" s="125" t="n">
        <f aca="false">I9/100</f>
        <v>0.8909</v>
      </c>
      <c r="N9" s="128"/>
      <c r="O9" s="128"/>
      <c r="P9" s="128"/>
      <c r="Q9" s="33"/>
      <c r="S9" s="24"/>
      <c r="T9" s="50" t="s">
        <v>115</v>
      </c>
      <c r="U9" s="130" t="n">
        <v>1.6</v>
      </c>
      <c r="V9" s="131" t="s">
        <v>113</v>
      </c>
      <c r="W9" s="114"/>
    </row>
    <row r="10" customFormat="false" ht="12.8" hidden="false" customHeight="false" outlineLevel="0" collapsed="false">
      <c r="B10" s="24"/>
      <c r="C10" s="50"/>
      <c r="D10" s="50"/>
      <c r="E10" s="122"/>
      <c r="F10" s="122"/>
      <c r="G10" s="122"/>
      <c r="H10" s="122"/>
      <c r="I10" s="122"/>
      <c r="J10" s="123"/>
      <c r="K10" s="122"/>
      <c r="L10" s="124"/>
      <c r="M10" s="125"/>
      <c r="N10" s="122"/>
      <c r="O10" s="122"/>
      <c r="P10" s="122"/>
      <c r="Q10" s="33"/>
      <c r="S10" s="24"/>
      <c r="T10" s="56"/>
      <c r="U10" s="56"/>
      <c r="V10" s="56"/>
      <c r="W10" s="114"/>
    </row>
    <row r="11" customFormat="false" ht="12.8" hidden="false" customHeight="false" outlineLevel="0" collapsed="false">
      <c r="B11" s="24"/>
      <c r="C11" s="56" t="s">
        <v>28</v>
      </c>
      <c r="D11" s="57" t="s">
        <v>103</v>
      </c>
      <c r="E11" s="121" t="n">
        <v>110.19</v>
      </c>
      <c r="F11" s="121" t="n">
        <f aca="false">264.8+0.33</f>
        <v>265.13</v>
      </c>
      <c r="G11" s="121" t="n">
        <v>230.95</v>
      </c>
      <c r="H11" s="122" t="n">
        <f aca="false">F11-E11</f>
        <v>154.94</v>
      </c>
      <c r="I11" s="122" t="n">
        <f aca="false">G11-E11</f>
        <v>120.76</v>
      </c>
      <c r="J11" s="123" t="n">
        <f aca="false">100*(H11-I11)/I11</f>
        <v>28.3040741967539</v>
      </c>
      <c r="K11" s="122" t="n">
        <f aca="false">AVERAGE(J11:J15)</f>
        <v>27.8745773990952</v>
      </c>
      <c r="L11" s="124" t="n">
        <f aca="false">STDEV(J11:J15)</f>
        <v>0.651933655843418</v>
      </c>
      <c r="M11" s="125" t="n">
        <f aca="false">I11/100</f>
        <v>1.2076</v>
      </c>
      <c r="N11" s="122" t="n">
        <f aca="false">K11/100</f>
        <v>0.278745773990952</v>
      </c>
      <c r="O11" s="126" t="n">
        <f aca="false">20+20*N11</f>
        <v>25.574915479819</v>
      </c>
      <c r="P11" s="127" t="n">
        <f aca="false">4+4*N11</f>
        <v>5.11498309596381</v>
      </c>
      <c r="Q11" s="33"/>
      <c r="S11" s="24"/>
      <c r="T11" s="83" t="s">
        <v>21</v>
      </c>
      <c r="U11" s="56"/>
      <c r="V11" s="56"/>
      <c r="W11" s="114"/>
    </row>
    <row r="12" customFormat="false" ht="12.8" hidden="false" customHeight="false" outlineLevel="0" collapsed="false">
      <c r="B12" s="24"/>
      <c r="C12" s="50"/>
      <c r="D12" s="57" t="s">
        <v>105</v>
      </c>
      <c r="E12" s="121" t="n">
        <v>105.6</v>
      </c>
      <c r="F12" s="121" t="n">
        <f aca="false">258.18+0.33</f>
        <v>258.51</v>
      </c>
      <c r="G12" s="121" t="n">
        <v>225.19</v>
      </c>
      <c r="H12" s="122" t="n">
        <f aca="false">F12-E12</f>
        <v>152.91</v>
      </c>
      <c r="I12" s="122" t="n">
        <f aca="false">G12-E12</f>
        <v>119.59</v>
      </c>
      <c r="J12" s="123" t="n">
        <f aca="false">100*(H12-I12)/I12</f>
        <v>27.8618613596454</v>
      </c>
      <c r="K12" s="128"/>
      <c r="L12" s="129"/>
      <c r="M12" s="125" t="n">
        <f aca="false">I12/100</f>
        <v>1.1959</v>
      </c>
      <c r="N12" s="128"/>
      <c r="O12" s="128"/>
      <c r="P12" s="128"/>
      <c r="Q12" s="33"/>
      <c r="S12" s="24"/>
      <c r="T12" s="131" t="s">
        <v>116</v>
      </c>
      <c r="U12" s="133" t="n">
        <f aca="false">'Field capacity and SPT density'!N5</f>
        <v>0.301280735506853</v>
      </c>
      <c r="V12" s="131" t="s">
        <v>117</v>
      </c>
      <c r="W12" s="114"/>
    </row>
    <row r="13" customFormat="false" ht="12.8" hidden="false" customHeight="false" outlineLevel="0" collapsed="false">
      <c r="B13" s="24"/>
      <c r="C13" s="50"/>
      <c r="D13" s="57" t="s">
        <v>108</v>
      </c>
      <c r="E13" s="121" t="n">
        <v>109.76</v>
      </c>
      <c r="F13" s="121" t="n">
        <f aca="false">259.45+0.33</f>
        <v>259.78</v>
      </c>
      <c r="G13" s="121" t="n">
        <v>227.63</v>
      </c>
      <c r="H13" s="122" t="n">
        <f aca="false">F13-E13</f>
        <v>150.02</v>
      </c>
      <c r="I13" s="122" t="n">
        <f aca="false">G13-E13</f>
        <v>117.87</v>
      </c>
      <c r="J13" s="123" t="n">
        <f aca="false">100*(H13-I13)/I13</f>
        <v>27.275812335624</v>
      </c>
      <c r="K13" s="128"/>
      <c r="L13" s="129"/>
      <c r="M13" s="125" t="n">
        <f aca="false">I13/100</f>
        <v>1.1787</v>
      </c>
      <c r="N13" s="128"/>
      <c r="O13" s="128"/>
      <c r="P13" s="128"/>
      <c r="Q13" s="33"/>
      <c r="S13" s="24"/>
      <c r="T13" s="50" t="s">
        <v>118</v>
      </c>
      <c r="U13" s="134" t="n">
        <f aca="false">(U9/100)*(U7+U6*U12)</f>
        <v>1.69640983536219</v>
      </c>
      <c r="V13" s="50" t="s">
        <v>113</v>
      </c>
      <c r="W13" s="114"/>
    </row>
    <row r="14" customFormat="false" ht="12.8" hidden="false" customHeight="false" outlineLevel="0" collapsed="false">
      <c r="B14" s="24"/>
      <c r="C14" s="50"/>
      <c r="D14" s="57" t="s">
        <v>111</v>
      </c>
      <c r="E14" s="121" t="n">
        <v>107.63</v>
      </c>
      <c r="F14" s="121" t="n">
        <f aca="false">252.69+0.33</f>
        <v>253.02</v>
      </c>
      <c r="G14" s="121" t="n">
        <v>220.58</v>
      </c>
      <c r="H14" s="122" t="n">
        <f aca="false">F14-E14</f>
        <v>145.39</v>
      </c>
      <c r="I14" s="122" t="n">
        <f aca="false">G14-E14</f>
        <v>112.95</v>
      </c>
      <c r="J14" s="123" t="n">
        <f aca="false">100*(H14-I14)/I14</f>
        <v>28.7206728640992</v>
      </c>
      <c r="K14" s="128"/>
      <c r="L14" s="129"/>
      <c r="M14" s="125" t="n">
        <f aca="false">I14/100</f>
        <v>1.1295</v>
      </c>
      <c r="N14" s="128"/>
      <c r="O14" s="128"/>
      <c r="P14" s="128"/>
      <c r="Q14" s="33"/>
      <c r="S14" s="24"/>
      <c r="T14" s="50"/>
      <c r="U14" s="56"/>
      <c r="V14" s="56"/>
      <c r="W14" s="114"/>
    </row>
    <row r="15" customFormat="false" ht="12.8" hidden="false" customHeight="false" outlineLevel="0" collapsed="false">
      <c r="B15" s="24"/>
      <c r="C15" s="50"/>
      <c r="D15" s="57" t="s">
        <v>114</v>
      </c>
      <c r="E15" s="121" t="n">
        <v>111.94</v>
      </c>
      <c r="F15" s="121" t="n">
        <f aca="false">256.82+0</f>
        <v>256.82</v>
      </c>
      <c r="G15" s="121" t="n">
        <v>225.83</v>
      </c>
      <c r="H15" s="122" t="n">
        <f aca="false">F15-E15</f>
        <v>144.88</v>
      </c>
      <c r="I15" s="122" t="n">
        <f aca="false">G15-E15</f>
        <v>113.89</v>
      </c>
      <c r="J15" s="123" t="n">
        <f aca="false">100*(H15-I15)/I15</f>
        <v>27.2104662393537</v>
      </c>
      <c r="K15" s="128"/>
      <c r="L15" s="129"/>
      <c r="M15" s="125" t="n">
        <f aca="false">I15/100</f>
        <v>1.1389</v>
      </c>
      <c r="N15" s="128"/>
      <c r="O15" s="128"/>
      <c r="P15" s="128"/>
      <c r="Q15" s="33"/>
      <c r="S15" s="24"/>
      <c r="T15" s="83" t="s">
        <v>28</v>
      </c>
      <c r="U15" s="50"/>
      <c r="V15" s="50"/>
      <c r="W15" s="114"/>
    </row>
    <row r="16" customFormat="false" ht="12.8" hidden="false" customHeight="false" outlineLevel="0" collapsed="false">
      <c r="B16" s="24"/>
      <c r="C16" s="50"/>
      <c r="D16" s="50"/>
      <c r="E16" s="122"/>
      <c r="F16" s="122"/>
      <c r="G16" s="122"/>
      <c r="H16" s="122"/>
      <c r="I16" s="122"/>
      <c r="J16" s="123"/>
      <c r="K16" s="122"/>
      <c r="L16" s="124"/>
      <c r="M16" s="125"/>
      <c r="N16" s="122"/>
      <c r="O16" s="122"/>
      <c r="P16" s="122"/>
      <c r="Q16" s="33"/>
      <c r="S16" s="24"/>
      <c r="T16" s="131" t="s">
        <v>116</v>
      </c>
      <c r="U16" s="133" t="n">
        <f aca="false">'Field capacity and SPT density'!N11</f>
        <v>0.278745773990952</v>
      </c>
      <c r="V16" s="131" t="s">
        <v>117</v>
      </c>
      <c r="W16" s="114"/>
    </row>
    <row r="17" customFormat="false" ht="12.8" hidden="false" customHeight="false" outlineLevel="0" collapsed="false">
      <c r="B17" s="24"/>
      <c r="C17" s="50" t="s">
        <v>32</v>
      </c>
      <c r="D17" s="57" t="s">
        <v>103</v>
      </c>
      <c r="E17" s="121" t="n">
        <v>110.17</v>
      </c>
      <c r="F17" s="121" t="n">
        <v>229.36</v>
      </c>
      <c r="G17" s="121" t="n">
        <v>203.77</v>
      </c>
      <c r="H17" s="122" t="n">
        <f aca="false">F17-E17</f>
        <v>119.19</v>
      </c>
      <c r="I17" s="122" t="n">
        <f aca="false">G17-E17</f>
        <v>93.6</v>
      </c>
      <c r="J17" s="123" t="n">
        <f aca="false">100*(H17-I17)/I17</f>
        <v>27.3397435897436</v>
      </c>
      <c r="K17" s="122" t="n">
        <f aca="false">AVERAGE(J17:J21)</f>
        <v>28.3410577780594</v>
      </c>
      <c r="L17" s="124" t="n">
        <f aca="false">STDEV(J17:J21)</f>
        <v>0.910084561066773</v>
      </c>
      <c r="M17" s="125" t="n">
        <f aca="false">I17/100</f>
        <v>0.936</v>
      </c>
      <c r="N17" s="122" t="n">
        <f aca="false">K17/100</f>
        <v>0.283410577780594</v>
      </c>
      <c r="O17" s="126" t="n">
        <f aca="false">20+20*N17</f>
        <v>25.6682115556119</v>
      </c>
      <c r="P17" s="127" t="n">
        <f aca="false">4+4*N17</f>
        <v>5.13364231112238</v>
      </c>
      <c r="Q17" s="33"/>
      <c r="S17" s="24"/>
      <c r="T17" s="50" t="s">
        <v>118</v>
      </c>
      <c r="U17" s="134" t="n">
        <f aca="false">(U9/100)*(U7+U6*U16)</f>
        <v>1.6891986476771</v>
      </c>
      <c r="V17" s="50" t="s">
        <v>113</v>
      </c>
      <c r="W17" s="114"/>
    </row>
    <row r="18" customFormat="false" ht="12.8" hidden="false" customHeight="false" outlineLevel="0" collapsed="false">
      <c r="B18" s="24"/>
      <c r="C18" s="50"/>
      <c r="D18" s="57" t="s">
        <v>105</v>
      </c>
      <c r="E18" s="121" t="n">
        <v>107.52</v>
      </c>
      <c r="F18" s="121" t="n">
        <v>228.27</v>
      </c>
      <c r="G18" s="121" t="n">
        <v>202.1</v>
      </c>
      <c r="H18" s="122" t="n">
        <f aca="false">F18-E18</f>
        <v>120.75</v>
      </c>
      <c r="I18" s="122" t="n">
        <f aca="false">G18-E18</f>
        <v>94.58</v>
      </c>
      <c r="J18" s="123" t="n">
        <f aca="false">100*(H18-I18)/I18</f>
        <v>27.6696976104885</v>
      </c>
      <c r="K18" s="128"/>
      <c r="L18" s="129"/>
      <c r="M18" s="125" t="n">
        <f aca="false">I18/100</f>
        <v>0.9458</v>
      </c>
      <c r="N18" s="128"/>
      <c r="O18" s="128"/>
      <c r="P18" s="128"/>
      <c r="Q18" s="33"/>
      <c r="S18" s="24"/>
      <c r="T18" s="50"/>
      <c r="U18" s="50"/>
      <c r="V18" s="50"/>
      <c r="W18" s="114"/>
    </row>
    <row r="19" customFormat="false" ht="12.8" hidden="false" customHeight="false" outlineLevel="0" collapsed="false">
      <c r="B19" s="24"/>
      <c r="C19" s="50"/>
      <c r="D19" s="57" t="s">
        <v>108</v>
      </c>
      <c r="E19" s="121" t="n">
        <v>101.08</v>
      </c>
      <c r="F19" s="121" t="n">
        <v>219.96</v>
      </c>
      <c r="G19" s="121" t="n">
        <v>193.42</v>
      </c>
      <c r="H19" s="122" t="n">
        <f aca="false">F19-E19</f>
        <v>118.88</v>
      </c>
      <c r="I19" s="122" t="n">
        <f aca="false">G19-E19</f>
        <v>92.34</v>
      </c>
      <c r="J19" s="123" t="n">
        <f aca="false">100*(H19-I19)/I19</f>
        <v>28.7416071041802</v>
      </c>
      <c r="K19" s="128"/>
      <c r="L19" s="129"/>
      <c r="M19" s="125" t="n">
        <f aca="false">I19/100</f>
        <v>0.9234</v>
      </c>
      <c r="N19" s="128"/>
      <c r="O19" s="128"/>
      <c r="P19" s="128"/>
      <c r="Q19" s="33"/>
      <c r="S19" s="24"/>
      <c r="T19" s="131" t="s">
        <v>116</v>
      </c>
      <c r="U19" s="133" t="n">
        <f aca="false">'Field capacity and SPT density'!N17</f>
        <v>0.283410577780594</v>
      </c>
      <c r="V19" s="131" t="s">
        <v>117</v>
      </c>
      <c r="W19" s="114"/>
    </row>
    <row r="20" customFormat="false" ht="12.8" hidden="false" customHeight="false" outlineLevel="0" collapsed="false">
      <c r="B20" s="24"/>
      <c r="C20" s="50"/>
      <c r="D20" s="57" t="s">
        <v>111</v>
      </c>
      <c r="E20" s="121" t="n">
        <v>110.59</v>
      </c>
      <c r="F20" s="121" t="n">
        <v>242.14</v>
      </c>
      <c r="G20" s="121" t="n">
        <v>212.06</v>
      </c>
      <c r="H20" s="122" t="n">
        <f aca="false">F20-E20</f>
        <v>131.55</v>
      </c>
      <c r="I20" s="122" t="n">
        <f aca="false">G20-E20</f>
        <v>101.47</v>
      </c>
      <c r="J20" s="123" t="n">
        <f aca="false">100*(H20-I20)/I20</f>
        <v>29.6442298216221</v>
      </c>
      <c r="K20" s="128"/>
      <c r="L20" s="129"/>
      <c r="M20" s="125" t="n">
        <f aca="false">I20/100</f>
        <v>1.0147</v>
      </c>
      <c r="N20" s="128"/>
      <c r="O20" s="128"/>
      <c r="P20" s="128"/>
      <c r="Q20" s="33"/>
      <c r="S20" s="24"/>
      <c r="T20" s="50" t="s">
        <v>118</v>
      </c>
      <c r="U20" s="134" t="n">
        <f aca="false">(U9/100)*(U7+U6*U19)</f>
        <v>1.69069138488979</v>
      </c>
      <c r="V20" s="50" t="s">
        <v>113</v>
      </c>
      <c r="W20" s="33"/>
    </row>
    <row r="21" customFormat="false" ht="12.8" hidden="false" customHeight="false" outlineLevel="0" collapsed="false">
      <c r="B21" s="24"/>
      <c r="C21" s="50"/>
      <c r="D21" s="57" t="s">
        <v>114</v>
      </c>
      <c r="E21" s="121" t="n">
        <v>110.02</v>
      </c>
      <c r="F21" s="121" t="n">
        <v>229.22</v>
      </c>
      <c r="G21" s="121" t="n">
        <v>202.92</v>
      </c>
      <c r="H21" s="122" t="n">
        <f aca="false">F21-E21</f>
        <v>119.2</v>
      </c>
      <c r="I21" s="122" t="n">
        <f aca="false">G21-E21</f>
        <v>92.9</v>
      </c>
      <c r="J21" s="123" t="n">
        <f aca="false">100*(H21-I21)/I21</f>
        <v>28.3100107642627</v>
      </c>
      <c r="K21" s="128"/>
      <c r="L21" s="129"/>
      <c r="M21" s="125" t="n">
        <f aca="false">I21/100</f>
        <v>0.929</v>
      </c>
      <c r="N21" s="128"/>
      <c r="O21" s="128"/>
      <c r="P21" s="128"/>
      <c r="Q21" s="33"/>
      <c r="S21" s="36"/>
      <c r="T21" s="37"/>
      <c r="U21" s="37"/>
      <c r="V21" s="37"/>
      <c r="W21" s="40"/>
    </row>
    <row r="22" customFormat="false" ht="14.65" hidden="false" customHeight="false" outlineLevel="0" collapsed="false">
      <c r="B22" s="36"/>
      <c r="C22" s="99"/>
      <c r="D22" s="99"/>
      <c r="E22" s="116"/>
      <c r="F22" s="116"/>
      <c r="G22" s="116"/>
      <c r="H22" s="116"/>
      <c r="I22" s="116"/>
      <c r="J22" s="116"/>
      <c r="K22" s="116"/>
      <c r="L22" s="116"/>
      <c r="M22" s="116"/>
      <c r="N22" s="116"/>
      <c r="O22" s="116"/>
      <c r="P22" s="116"/>
      <c r="Q22" s="40"/>
    </row>
    <row r="23" customFormat="false" ht="14.65" hidden="false" customHeight="false" outlineLevel="0" collapsed="false">
      <c r="C23" s="41"/>
      <c r="D23" s="41"/>
      <c r="E23" s="121"/>
      <c r="F23" s="121"/>
      <c r="G23" s="121"/>
      <c r="H23" s="121"/>
      <c r="I23" s="121"/>
      <c r="J23" s="121"/>
      <c r="K23" s="121"/>
      <c r="L23" s="121"/>
      <c r="M23" s="121"/>
      <c r="N23" s="121"/>
      <c r="O23" s="121"/>
      <c r="P23" s="121"/>
    </row>
    <row r="24" customFormat="false" ht="14.65" hidden="false" customHeight="false" outlineLevel="0" collapsed="false">
      <c r="C24" s="41" t="s">
        <v>119</v>
      </c>
      <c r="D24" s="41"/>
      <c r="E24" s="121"/>
      <c r="F24" s="121"/>
      <c r="G24" s="121"/>
      <c r="H24" s="121"/>
      <c r="I24" s="121"/>
      <c r="J24" s="121"/>
      <c r="K24" s="121"/>
      <c r="L24" s="121"/>
      <c r="M24" s="121"/>
      <c r="N24" s="121"/>
      <c r="O24" s="121"/>
      <c r="P24" s="121"/>
    </row>
  </sheetData>
  <mergeCells count="1">
    <mergeCell ref="T3:V3"/>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landscape" blackAndWhite="false" draft="false" cellComments="none" horizontalDpi="300" verticalDpi="300" copies="1"/>
  <headerFooter differentFirst="false" differentOddEven="false">
    <oddHeader>&amp;C&amp;A</oddHeader>
    <oddFooter>&amp;CSeite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AMJ1048576"/>
  <sheetViews>
    <sheetView showFormulas="false" showGridLines="true" showRowColHeaders="true" showZeros="true" rightToLeft="false" tabSelected="false" showOutlineSymbols="true" defaultGridColor="true" view="normal" topLeftCell="A16" colorId="64" zoomScale="110" zoomScaleNormal="110" zoomScalePageLayoutView="100" workbookViewId="0">
      <selection pane="topLeft" activeCell="G11" activeCellId="0" sqref="G11"/>
    </sheetView>
  </sheetViews>
  <sheetFormatPr defaultColWidth="11.06640625" defaultRowHeight="14.1" zeroHeight="false" outlineLevelRow="0" outlineLevelCol="0"/>
  <cols>
    <col collapsed="false" customWidth="true" hidden="false" outlineLevel="0" max="1" min="1" style="41" width="2.65"/>
    <col collapsed="false" customWidth="true" hidden="false" outlineLevel="0" max="2" min="2" style="41" width="2.52"/>
    <col collapsed="false" customWidth="true" hidden="false" outlineLevel="0" max="3" min="3" style="135" width="11.74"/>
    <col collapsed="false" customWidth="true" hidden="false" outlineLevel="0" max="4" min="4" style="135" width="10.77"/>
    <col collapsed="false" customWidth="true" hidden="false" outlineLevel="0" max="5" min="5" style="135" width="7.68"/>
    <col collapsed="false" customWidth="true" hidden="false" outlineLevel="0" max="6" min="6" style="135" width="9.72"/>
    <col collapsed="false" customWidth="true" hidden="false" outlineLevel="0" max="7" min="7" style="41" width="9.03"/>
    <col collapsed="false" customWidth="true" hidden="false" outlineLevel="0" max="8" min="8" style="41" width="7.98"/>
    <col collapsed="false" customWidth="true" hidden="false" outlineLevel="0" max="9" min="9" style="41" width="7.69"/>
    <col collapsed="false" customWidth="true" hidden="false" outlineLevel="0" max="10" min="10" style="136" width="10.73"/>
    <col collapsed="false" customWidth="true" hidden="false" outlineLevel="0" max="13" min="11" style="136" width="10.35"/>
    <col collapsed="false" customWidth="true" hidden="false" outlineLevel="0" max="14" min="14" style="136" width="8.86"/>
    <col collapsed="false" customWidth="true" hidden="false" outlineLevel="0" max="15" min="15" style="136" width="10.07"/>
    <col collapsed="false" customWidth="true" hidden="false" outlineLevel="0" max="16" min="16" style="136" width="9.6"/>
    <col collapsed="false" customWidth="true" hidden="false" outlineLevel="0" max="17" min="17" style="136" width="10.77"/>
    <col collapsed="false" customWidth="true" hidden="false" outlineLevel="0" max="18" min="18" style="137" width="9.6"/>
    <col collapsed="false" customWidth="true" hidden="false" outlineLevel="0" max="19" min="19" style="18" width="8.17"/>
    <col collapsed="false" customWidth="true" hidden="false" outlineLevel="0" max="20" min="20" style="18" width="7.68"/>
    <col collapsed="false" customWidth="true" hidden="false" outlineLevel="0" max="21" min="21" style="41" width="2.38"/>
    <col collapsed="false" customWidth="false" hidden="false" outlineLevel="0" max="1022" min="22" style="41" width="11.05"/>
    <col collapsed="false" customWidth="true" hidden="false" outlineLevel="0" max="1024" min="1023" style="0" width="11.52"/>
  </cols>
  <sheetData>
    <row r="1" customFormat="false" ht="12.8" hidden="false" customHeight="true" outlineLevel="0" collapsed="false">
      <c r="C1" s="41"/>
      <c r="D1" s="41"/>
      <c r="E1" s="41"/>
      <c r="F1" s="41"/>
      <c r="G1" s="130"/>
    </row>
    <row r="2" customFormat="false" ht="15.85" hidden="false" customHeight="true" outlineLevel="0" collapsed="false">
      <c r="B2" s="42"/>
      <c r="C2" s="43"/>
      <c r="D2" s="43"/>
      <c r="E2" s="43"/>
      <c r="F2" s="43"/>
      <c r="G2" s="138"/>
      <c r="H2" s="43"/>
      <c r="I2" s="43"/>
      <c r="J2" s="139"/>
      <c r="K2" s="139"/>
      <c r="L2" s="139"/>
      <c r="M2" s="139"/>
      <c r="N2" s="139"/>
      <c r="O2" s="139"/>
      <c r="P2" s="139"/>
      <c r="Q2" s="139"/>
      <c r="R2" s="140"/>
      <c r="S2" s="141"/>
      <c r="T2" s="141"/>
      <c r="U2" s="44"/>
    </row>
    <row r="3" customFormat="false" ht="21.8" hidden="false" customHeight="true" outlineLevel="0" collapsed="false">
      <c r="B3" s="46"/>
      <c r="C3" s="142" t="s">
        <v>120</v>
      </c>
      <c r="D3" s="142"/>
      <c r="E3" s="142"/>
      <c r="F3" s="52"/>
      <c r="G3" s="143"/>
      <c r="H3" s="52"/>
      <c r="I3" s="52"/>
      <c r="J3" s="144"/>
      <c r="K3" s="144"/>
      <c r="L3" s="144"/>
      <c r="M3" s="144"/>
      <c r="N3" s="144"/>
      <c r="O3" s="144"/>
      <c r="P3" s="144"/>
      <c r="Q3" s="144"/>
      <c r="R3" s="145"/>
      <c r="S3" s="145"/>
      <c r="T3" s="145"/>
      <c r="U3" s="48"/>
    </row>
    <row r="4" customFormat="false" ht="33.2" hidden="false" customHeight="true" outlineLevel="0" collapsed="false">
      <c r="B4" s="46"/>
      <c r="C4" s="146" t="s">
        <v>121</v>
      </c>
      <c r="D4" s="146"/>
      <c r="E4" s="146"/>
      <c r="F4" s="146"/>
      <c r="G4" s="146"/>
      <c r="H4" s="146"/>
      <c r="I4" s="146"/>
      <c r="J4" s="146"/>
      <c r="K4" s="146"/>
      <c r="L4" s="146"/>
      <c r="M4" s="146"/>
      <c r="N4" s="146"/>
      <c r="O4" s="146"/>
      <c r="P4" s="146"/>
      <c r="Q4" s="146"/>
      <c r="R4" s="146"/>
      <c r="S4" s="146"/>
      <c r="T4" s="146"/>
      <c r="U4" s="48"/>
    </row>
    <row r="5" customFormat="false" ht="25.75" hidden="false" customHeight="true" outlineLevel="0" collapsed="false">
      <c r="B5" s="46"/>
      <c r="C5" s="146" t="s">
        <v>122</v>
      </c>
      <c r="D5" s="146"/>
      <c r="E5" s="146"/>
      <c r="F5" s="146"/>
      <c r="G5" s="146"/>
      <c r="H5" s="146"/>
      <c r="I5" s="146"/>
      <c r="J5" s="146"/>
      <c r="K5" s="146"/>
      <c r="L5" s="146"/>
      <c r="M5" s="146"/>
      <c r="N5" s="146"/>
      <c r="O5" s="146"/>
      <c r="P5" s="146"/>
      <c r="Q5" s="146"/>
      <c r="R5" s="146"/>
      <c r="S5" s="146"/>
      <c r="T5" s="146"/>
      <c r="U5" s="48"/>
    </row>
    <row r="6" customFormat="false" ht="12.8" hidden="false" customHeight="true" outlineLevel="0" collapsed="false">
      <c r="B6" s="46"/>
      <c r="C6" s="52"/>
      <c r="D6" s="52"/>
      <c r="E6" s="52"/>
      <c r="F6" s="52"/>
      <c r="G6" s="143"/>
      <c r="H6" s="52"/>
      <c r="I6" s="52"/>
      <c r="J6" s="144"/>
      <c r="K6" s="144"/>
      <c r="L6" s="144"/>
      <c r="M6" s="144"/>
      <c r="N6" s="144"/>
      <c r="O6" s="144"/>
      <c r="P6" s="144"/>
      <c r="Q6" s="144"/>
      <c r="R6" s="147"/>
      <c r="S6" s="148"/>
      <c r="T6" s="148"/>
      <c r="U6" s="48"/>
    </row>
    <row r="7" customFormat="false" ht="12.8" hidden="false" customHeight="true" outlineLevel="0" collapsed="false">
      <c r="B7" s="46"/>
      <c r="C7" s="52"/>
      <c r="D7" s="52"/>
      <c r="E7" s="52"/>
      <c r="F7" s="52"/>
      <c r="G7" s="143"/>
      <c r="H7" s="52"/>
      <c r="I7" s="52"/>
      <c r="J7" s="144"/>
      <c r="K7" s="144"/>
      <c r="L7" s="144"/>
      <c r="M7" s="144"/>
      <c r="N7" s="144"/>
      <c r="O7" s="144"/>
      <c r="P7" s="144"/>
      <c r="Q7" s="144"/>
      <c r="R7" s="147"/>
      <c r="S7" s="148"/>
      <c r="T7" s="148"/>
      <c r="U7" s="48"/>
    </row>
    <row r="8" customFormat="false" ht="14.1" hidden="false" customHeight="true" outlineLevel="0" collapsed="false">
      <c r="B8" s="46"/>
      <c r="C8" s="149" t="s">
        <v>123</v>
      </c>
      <c r="D8" s="149"/>
      <c r="E8" s="149"/>
      <c r="F8" s="50" t="s">
        <v>124</v>
      </c>
      <c r="G8" s="130" t="n">
        <f aca="false">'Field capacity and SPT density'!U9</f>
        <v>1.6</v>
      </c>
      <c r="H8" s="105" t="s">
        <v>125</v>
      </c>
      <c r="I8" s="105"/>
      <c r="J8" s="105"/>
      <c r="K8" s="105"/>
      <c r="L8" s="105"/>
      <c r="M8" s="105"/>
      <c r="N8" s="105"/>
      <c r="O8" s="105"/>
      <c r="P8" s="105"/>
      <c r="Q8" s="105"/>
      <c r="R8" s="105"/>
      <c r="S8" s="105"/>
      <c r="T8" s="105"/>
      <c r="U8" s="48"/>
    </row>
    <row r="9" customFormat="false" ht="14.1" hidden="false" customHeight="true" outlineLevel="0" collapsed="false">
      <c r="B9" s="46"/>
      <c r="C9" s="83" t="s">
        <v>126</v>
      </c>
      <c r="D9" s="83"/>
      <c r="E9" s="83"/>
      <c r="F9" s="50" t="s">
        <v>127</v>
      </c>
      <c r="G9" s="150" t="n">
        <f aca="false">'Sonotrode calibration'!Q27</f>
        <v>50.0186041108333</v>
      </c>
      <c r="H9" s="105" t="s">
        <v>128</v>
      </c>
      <c r="I9" s="105"/>
      <c r="J9" s="105"/>
      <c r="K9" s="105"/>
      <c r="L9" s="105"/>
      <c r="M9" s="105"/>
      <c r="N9" s="105"/>
      <c r="O9" s="105"/>
      <c r="P9" s="105"/>
      <c r="Q9" s="105"/>
      <c r="R9" s="105"/>
      <c r="S9" s="105"/>
      <c r="T9" s="105"/>
      <c r="U9" s="48"/>
    </row>
    <row r="10" customFormat="false" ht="14.3" hidden="false" customHeight="true" outlineLevel="0" collapsed="false">
      <c r="B10" s="46"/>
      <c r="C10" s="83" t="s">
        <v>129</v>
      </c>
      <c r="D10" s="83"/>
      <c r="E10" s="83"/>
      <c r="F10" s="50" t="s">
        <v>127</v>
      </c>
      <c r="G10" s="151" t="n">
        <f aca="false">'Sonotrode calibration'!Q28</f>
        <v>1.29033922714012</v>
      </c>
      <c r="H10" s="105" t="s">
        <v>130</v>
      </c>
      <c r="I10" s="105"/>
      <c r="J10" s="105"/>
      <c r="K10" s="105"/>
      <c r="L10" s="105"/>
      <c r="M10" s="105"/>
      <c r="N10" s="105"/>
      <c r="O10" s="105"/>
      <c r="P10" s="105"/>
      <c r="Q10" s="105"/>
      <c r="R10" s="105"/>
      <c r="S10" s="105"/>
      <c r="T10" s="105"/>
      <c r="U10" s="48"/>
    </row>
    <row r="11" customFormat="false" ht="14.1" hidden="false" customHeight="true" outlineLevel="0" collapsed="false">
      <c r="B11" s="46"/>
      <c r="C11" s="152" t="s">
        <v>131</v>
      </c>
      <c r="D11" s="152"/>
      <c r="E11" s="152"/>
      <c r="F11" s="50" t="s">
        <v>132</v>
      </c>
      <c r="G11" s="153" t="n">
        <f aca="false">'Sonotrode calibration'!P19</f>
        <v>45397</v>
      </c>
      <c r="H11" s="105" t="s">
        <v>133</v>
      </c>
      <c r="I11" s="105"/>
      <c r="J11" s="105"/>
      <c r="K11" s="105"/>
      <c r="L11" s="105"/>
      <c r="M11" s="105"/>
      <c r="N11" s="105"/>
      <c r="O11" s="105"/>
      <c r="P11" s="105"/>
      <c r="Q11" s="105"/>
      <c r="R11" s="105"/>
      <c r="S11" s="105"/>
      <c r="T11" s="105"/>
      <c r="U11" s="48"/>
    </row>
    <row r="12" customFormat="false" ht="14.1" hidden="false" customHeight="true" outlineLevel="0" collapsed="false">
      <c r="B12" s="46"/>
      <c r="C12" s="81"/>
      <c r="D12" s="81"/>
      <c r="E12" s="81"/>
      <c r="F12" s="81"/>
      <c r="G12" s="50"/>
      <c r="H12" s="50"/>
      <c r="I12" s="50"/>
      <c r="J12" s="102"/>
      <c r="K12" s="102"/>
      <c r="L12" s="102"/>
      <c r="M12" s="102"/>
      <c r="N12" s="102"/>
      <c r="O12" s="102"/>
      <c r="P12" s="102"/>
      <c r="Q12" s="102"/>
      <c r="R12" s="101"/>
      <c r="S12" s="83"/>
      <c r="T12" s="83"/>
      <c r="U12" s="48"/>
    </row>
    <row r="13" s="18" customFormat="true" ht="54.1" hidden="false" customHeight="true" outlineLevel="0" collapsed="false">
      <c r="B13" s="154"/>
      <c r="C13" s="14" t="s">
        <v>134</v>
      </c>
      <c r="D13" s="14" t="s">
        <v>135</v>
      </c>
      <c r="E13" s="13" t="s">
        <v>1</v>
      </c>
      <c r="F13" s="13" t="s">
        <v>136</v>
      </c>
      <c r="G13" s="13" t="s">
        <v>137</v>
      </c>
      <c r="H13" s="13" t="s">
        <v>138</v>
      </c>
      <c r="I13" s="13" t="s">
        <v>139</v>
      </c>
      <c r="J13" s="110" t="s">
        <v>140</v>
      </c>
      <c r="K13" s="110" t="s">
        <v>141</v>
      </c>
      <c r="L13" s="110" t="s">
        <v>142</v>
      </c>
      <c r="M13" s="110" t="s">
        <v>143</v>
      </c>
      <c r="N13" s="110" t="s">
        <v>144</v>
      </c>
      <c r="O13" s="110" t="s">
        <v>145</v>
      </c>
      <c r="P13" s="110" t="s">
        <v>146</v>
      </c>
      <c r="Q13" s="110" t="s">
        <v>147</v>
      </c>
      <c r="R13" s="155" t="s">
        <v>148</v>
      </c>
      <c r="S13" s="156" t="s">
        <v>149</v>
      </c>
      <c r="T13" s="156"/>
      <c r="U13" s="157"/>
      <c r="AMI13" s="0"/>
      <c r="AMJ13" s="0"/>
    </row>
    <row r="14" s="18" customFormat="true" ht="14.3" hidden="false" customHeight="true" outlineLevel="0" collapsed="false">
      <c r="B14" s="154"/>
      <c r="C14" s="115"/>
      <c r="D14" s="115"/>
      <c r="E14" s="115"/>
      <c r="F14" s="158" t="s">
        <v>150</v>
      </c>
      <c r="G14" s="158" t="s">
        <v>151</v>
      </c>
      <c r="H14" s="158" t="s">
        <v>151</v>
      </c>
      <c r="I14" s="158" t="s">
        <v>152</v>
      </c>
      <c r="J14" s="159" t="s">
        <v>151</v>
      </c>
      <c r="K14" s="159" t="s">
        <v>153</v>
      </c>
      <c r="L14" s="159" t="s">
        <v>154</v>
      </c>
      <c r="M14" s="159" t="s">
        <v>151</v>
      </c>
      <c r="N14" s="159" t="s">
        <v>151</v>
      </c>
      <c r="O14" s="159" t="s">
        <v>155</v>
      </c>
      <c r="P14" s="159" t="s">
        <v>155</v>
      </c>
      <c r="Q14" s="159" t="s">
        <v>155</v>
      </c>
      <c r="R14" s="160" t="s">
        <v>156</v>
      </c>
      <c r="S14" s="158" t="s">
        <v>67</v>
      </c>
      <c r="T14" s="158" t="s">
        <v>157</v>
      </c>
      <c r="U14" s="157"/>
      <c r="AMI14" s="161"/>
      <c r="AMJ14" s="161"/>
    </row>
    <row r="15" customFormat="false" ht="14.1" hidden="false" customHeight="true" outlineLevel="0" collapsed="false">
      <c r="B15" s="46"/>
      <c r="C15" s="50" t="s">
        <v>21</v>
      </c>
      <c r="D15" s="50" t="s">
        <v>158</v>
      </c>
      <c r="E15" s="57" t="s">
        <v>103</v>
      </c>
      <c r="F15" s="162" t="n">
        <v>0</v>
      </c>
      <c r="G15" s="121" t="n">
        <v>24.38</v>
      </c>
      <c r="H15" s="163" t="n">
        <v>20</v>
      </c>
      <c r="I15" s="164" t="n">
        <v>6.02</v>
      </c>
      <c r="J15" s="122" t="n">
        <f aca="false">SUM(G15,H15,I15)</f>
        <v>50.4</v>
      </c>
      <c r="K15" s="122" t="n">
        <f aca="false">5*H15</f>
        <v>100</v>
      </c>
      <c r="L15" s="122" t="n">
        <f aca="false">'Field capacity and SPT density'!$U$13</f>
        <v>1.69640983536219</v>
      </c>
      <c r="M15" s="122" t="n">
        <f aca="false">J15+K15*L15</f>
        <v>220.040983536219</v>
      </c>
      <c r="N15" s="122" t="n">
        <f aca="false">M15-H15-G15</f>
        <v>175.660983536219</v>
      </c>
      <c r="O15" s="122" t="n">
        <f aca="false">(N15/$G$8)</f>
        <v>109.788114710137</v>
      </c>
      <c r="P15" s="122" t="n">
        <f aca="false">H15/2.65</f>
        <v>7.54716981132076</v>
      </c>
      <c r="Q15" s="122" t="n">
        <f aca="false">O15+P15</f>
        <v>117.335284521458</v>
      </c>
      <c r="R15" s="165" t="n">
        <f aca="false">F15*Q15</f>
        <v>0</v>
      </c>
      <c r="S15" s="166" t="n">
        <f aca="false">ROUND(R15/$G$9,0)</f>
        <v>0</v>
      </c>
      <c r="T15" s="167" t="n">
        <f aca="false">INT(S15/60)+(MOD(S15,60)/100)</f>
        <v>0</v>
      </c>
      <c r="U15" s="48"/>
    </row>
    <row r="16" customFormat="false" ht="14.1" hidden="false" customHeight="true" outlineLevel="0" collapsed="false">
      <c r="B16" s="46"/>
      <c r="C16" s="50"/>
      <c r="D16" s="81"/>
      <c r="E16" s="57" t="s">
        <v>103</v>
      </c>
      <c r="F16" s="162" t="n">
        <v>50</v>
      </c>
      <c r="G16" s="121" t="n">
        <v>24.38</v>
      </c>
      <c r="H16" s="163" t="n">
        <v>20</v>
      </c>
      <c r="I16" s="164" t="n">
        <v>6.02</v>
      </c>
      <c r="J16" s="122" t="n">
        <f aca="false">SUM(G16,H16,I16)</f>
        <v>50.4</v>
      </c>
      <c r="K16" s="122" t="n">
        <f aca="false">5*H16</f>
        <v>100</v>
      </c>
      <c r="L16" s="122" t="n">
        <f aca="false">'Field capacity and SPT density'!$U$13</f>
        <v>1.69640983536219</v>
      </c>
      <c r="M16" s="122" t="n">
        <f aca="false">J16+K16*L16</f>
        <v>220.040983536219</v>
      </c>
      <c r="N16" s="122" t="n">
        <f aca="false">M16-H16-G16</f>
        <v>175.660983536219</v>
      </c>
      <c r="O16" s="122" t="n">
        <f aca="false">(N16/$G$8)</f>
        <v>109.788114710137</v>
      </c>
      <c r="P16" s="122" t="n">
        <f aca="false">H16/2.65</f>
        <v>7.54716981132076</v>
      </c>
      <c r="Q16" s="122" t="n">
        <f aca="false">O16+P16</f>
        <v>117.335284521458</v>
      </c>
      <c r="R16" s="165" t="n">
        <f aca="false">F16*Q16</f>
        <v>5866.76422607289</v>
      </c>
      <c r="S16" s="166" t="n">
        <f aca="false">ROUND(R16/$G$9,0)</f>
        <v>117</v>
      </c>
      <c r="T16" s="167" t="n">
        <f aca="false">INT(S16/60)+(MOD(S16,60)/100)</f>
        <v>1.57</v>
      </c>
      <c r="U16" s="48"/>
    </row>
    <row r="17" customFormat="false" ht="14.1" hidden="false" customHeight="true" outlineLevel="0" collapsed="false">
      <c r="B17" s="46"/>
      <c r="C17" s="50"/>
      <c r="D17" s="50"/>
      <c r="E17" s="57" t="s">
        <v>105</v>
      </c>
      <c r="F17" s="164" t="n">
        <v>0</v>
      </c>
      <c r="G17" s="121" t="n">
        <v>22.61</v>
      </c>
      <c r="H17" s="163" t="n">
        <v>20</v>
      </c>
      <c r="I17" s="164" t="n">
        <v>6.02</v>
      </c>
      <c r="J17" s="122" t="n">
        <f aca="false">SUM(G17,H17,I17)</f>
        <v>48.63</v>
      </c>
      <c r="K17" s="122" t="n">
        <f aca="false">5*H17</f>
        <v>100</v>
      </c>
      <c r="L17" s="122" t="n">
        <f aca="false">'Field capacity and SPT density'!$U$13</f>
        <v>1.69640983536219</v>
      </c>
      <c r="M17" s="122" t="n">
        <f aca="false">J17+K17*L17</f>
        <v>218.270983536219</v>
      </c>
      <c r="N17" s="122" t="n">
        <f aca="false">M17-H17-G17</f>
        <v>175.660983536219</v>
      </c>
      <c r="O17" s="122" t="n">
        <f aca="false">(N17/$G$8)</f>
        <v>109.788114710137</v>
      </c>
      <c r="P17" s="122" t="n">
        <f aca="false">H17/2.65</f>
        <v>7.54716981132076</v>
      </c>
      <c r="Q17" s="122" t="n">
        <f aca="false">O17+P17</f>
        <v>117.335284521458</v>
      </c>
      <c r="R17" s="165" t="n">
        <f aca="false">F17*Q17</f>
        <v>0</v>
      </c>
      <c r="S17" s="166" t="n">
        <f aca="false">ROUND(R17/$G$9,0)</f>
        <v>0</v>
      </c>
      <c r="T17" s="167" t="n">
        <f aca="false">INT(S17/60)+(MOD(S17,60)/100)</f>
        <v>0</v>
      </c>
      <c r="U17" s="48"/>
    </row>
    <row r="18" customFormat="false" ht="14.1" hidden="false" customHeight="true" outlineLevel="0" collapsed="false">
      <c r="B18" s="46"/>
      <c r="C18" s="50"/>
      <c r="D18" s="50"/>
      <c r="E18" s="57" t="s">
        <v>105</v>
      </c>
      <c r="F18" s="164" t="n">
        <v>50</v>
      </c>
      <c r="G18" s="121" t="n">
        <v>22.61</v>
      </c>
      <c r="H18" s="164" t="n">
        <v>20</v>
      </c>
      <c r="I18" s="164" t="n">
        <v>6.02</v>
      </c>
      <c r="J18" s="122" t="n">
        <f aca="false">SUM(G18,H18,I18)</f>
        <v>48.63</v>
      </c>
      <c r="K18" s="122" t="n">
        <f aca="false">5*H18</f>
        <v>100</v>
      </c>
      <c r="L18" s="122" t="n">
        <f aca="false">'Field capacity and SPT density'!$U$13</f>
        <v>1.69640983536219</v>
      </c>
      <c r="M18" s="122" t="n">
        <f aca="false">J18+K18*L18</f>
        <v>218.270983536219</v>
      </c>
      <c r="N18" s="122" t="n">
        <f aca="false">M18-H18-G18</f>
        <v>175.660983536219</v>
      </c>
      <c r="O18" s="122" t="n">
        <f aca="false">(N18/$G$8)</f>
        <v>109.788114710137</v>
      </c>
      <c r="P18" s="122" t="n">
        <f aca="false">H18/2.65</f>
        <v>7.54716981132076</v>
      </c>
      <c r="Q18" s="122" t="n">
        <f aca="false">O18+P18</f>
        <v>117.335284521458</v>
      </c>
      <c r="R18" s="165" t="n">
        <f aca="false">F18*Q18</f>
        <v>5866.76422607289</v>
      </c>
      <c r="S18" s="166" t="n">
        <f aca="false">ROUND(R18/$G$9,0)</f>
        <v>117</v>
      </c>
      <c r="T18" s="167" t="n">
        <f aca="false">INT(S18/60)+(MOD(S18,60)/100)</f>
        <v>1.57</v>
      </c>
      <c r="U18" s="48"/>
    </row>
    <row r="19" customFormat="false" ht="14.1" hidden="false" customHeight="true" outlineLevel="0" collapsed="false">
      <c r="B19" s="46"/>
      <c r="C19" s="50"/>
      <c r="D19" s="50"/>
      <c r="E19" s="57" t="s">
        <v>108</v>
      </c>
      <c r="F19" s="164" t="n">
        <v>0</v>
      </c>
      <c r="G19" s="121" t="n">
        <v>22.65</v>
      </c>
      <c r="H19" s="164" t="n">
        <v>20</v>
      </c>
      <c r="I19" s="164" t="n">
        <v>6.02</v>
      </c>
      <c r="J19" s="122" t="n">
        <f aca="false">SUM(G19,H19,I19)</f>
        <v>48.67</v>
      </c>
      <c r="K19" s="122" t="n">
        <f aca="false">5*H19</f>
        <v>100</v>
      </c>
      <c r="L19" s="122" t="n">
        <f aca="false">'Field capacity and SPT density'!$U$13</f>
        <v>1.69640983536219</v>
      </c>
      <c r="M19" s="122" t="n">
        <f aca="false">J19+K19*L19</f>
        <v>218.310983536219</v>
      </c>
      <c r="N19" s="122" t="n">
        <f aca="false">M19-H19-G19</f>
        <v>175.660983536219</v>
      </c>
      <c r="O19" s="122" t="n">
        <f aca="false">(N19/$G$8)</f>
        <v>109.788114710137</v>
      </c>
      <c r="P19" s="122" t="n">
        <f aca="false">H19/2.65</f>
        <v>7.54716981132076</v>
      </c>
      <c r="Q19" s="122" t="n">
        <f aca="false">O19+P19</f>
        <v>117.335284521458</v>
      </c>
      <c r="R19" s="165" t="n">
        <f aca="false">F19*Q19</f>
        <v>0</v>
      </c>
      <c r="S19" s="166" t="n">
        <f aca="false">ROUND(R19/$G$9,0)</f>
        <v>0</v>
      </c>
      <c r="T19" s="167" t="n">
        <f aca="false">INT(S19/60)+(MOD(S19,60)/100)</f>
        <v>0</v>
      </c>
      <c r="U19" s="48"/>
    </row>
    <row r="20" customFormat="false" ht="14.1" hidden="false" customHeight="true" outlineLevel="0" collapsed="false">
      <c r="B20" s="46"/>
      <c r="C20" s="50"/>
      <c r="D20" s="50"/>
      <c r="E20" s="57" t="s">
        <v>108</v>
      </c>
      <c r="F20" s="164" t="n">
        <v>50</v>
      </c>
      <c r="G20" s="121" t="n">
        <v>22.65</v>
      </c>
      <c r="H20" s="164" t="n">
        <v>20</v>
      </c>
      <c r="I20" s="164" t="n">
        <v>6.02</v>
      </c>
      <c r="J20" s="122" t="n">
        <f aca="false">SUM(G20,H20,I20)</f>
        <v>48.67</v>
      </c>
      <c r="K20" s="122" t="n">
        <f aca="false">5*H20</f>
        <v>100</v>
      </c>
      <c r="L20" s="122" t="n">
        <f aca="false">'Field capacity and SPT density'!$U$13</f>
        <v>1.69640983536219</v>
      </c>
      <c r="M20" s="122" t="n">
        <f aca="false">J20+K20*L20</f>
        <v>218.310983536219</v>
      </c>
      <c r="N20" s="122" t="n">
        <f aca="false">M20-H20-G20</f>
        <v>175.660983536219</v>
      </c>
      <c r="O20" s="122" t="n">
        <f aca="false">(N20/$G$8)</f>
        <v>109.788114710137</v>
      </c>
      <c r="P20" s="122" t="n">
        <f aca="false">H20/2.65</f>
        <v>7.54716981132076</v>
      </c>
      <c r="Q20" s="122" t="n">
        <f aca="false">O20+P20</f>
        <v>117.335284521458</v>
      </c>
      <c r="R20" s="165" t="n">
        <f aca="false">F20*Q20</f>
        <v>5866.76422607289</v>
      </c>
      <c r="S20" s="166" t="n">
        <f aca="false">ROUND(R20/$G$9,0)</f>
        <v>117</v>
      </c>
      <c r="T20" s="167" t="n">
        <f aca="false">INT(S20/60)+(MOD(S20,60)/100)</f>
        <v>1.57</v>
      </c>
      <c r="U20" s="48"/>
    </row>
    <row r="21" customFormat="false" ht="14.1" hidden="false" customHeight="true" outlineLevel="0" collapsed="false">
      <c r="B21" s="46"/>
      <c r="C21" s="50"/>
      <c r="D21" s="50"/>
      <c r="E21" s="57" t="s">
        <v>111</v>
      </c>
      <c r="F21" s="164" t="n">
        <v>0</v>
      </c>
      <c r="G21" s="121" t="n">
        <v>22.28</v>
      </c>
      <c r="H21" s="164" t="n">
        <v>20</v>
      </c>
      <c r="I21" s="164" t="n">
        <v>6.02</v>
      </c>
      <c r="J21" s="122" t="n">
        <f aca="false">SUM(G21,H21,I21)</f>
        <v>48.3</v>
      </c>
      <c r="K21" s="122" t="n">
        <f aca="false">5*H21</f>
        <v>100</v>
      </c>
      <c r="L21" s="122" t="n">
        <f aca="false">'Field capacity and SPT density'!$U$13</f>
        <v>1.69640983536219</v>
      </c>
      <c r="M21" s="122" t="n">
        <f aca="false">J21+K21*L21</f>
        <v>217.940983536219</v>
      </c>
      <c r="N21" s="122" t="n">
        <f aca="false">M21-H21-G21</f>
        <v>175.660983536219</v>
      </c>
      <c r="O21" s="122" t="n">
        <f aca="false">(N21/$G$8)</f>
        <v>109.788114710137</v>
      </c>
      <c r="P21" s="122" t="n">
        <f aca="false">H21/2.65</f>
        <v>7.54716981132076</v>
      </c>
      <c r="Q21" s="122" t="n">
        <f aca="false">O21+P21</f>
        <v>117.335284521458</v>
      </c>
      <c r="R21" s="165" t="n">
        <f aca="false">F21*Q21</f>
        <v>0</v>
      </c>
      <c r="S21" s="166" t="n">
        <f aca="false">ROUND(R21/$G$9,0)</f>
        <v>0</v>
      </c>
      <c r="T21" s="167" t="n">
        <f aca="false">INT(S21/60)+(MOD(S21,60)/100)</f>
        <v>0</v>
      </c>
      <c r="U21" s="48"/>
    </row>
    <row r="22" customFormat="false" ht="14.1" hidden="false" customHeight="true" outlineLevel="0" collapsed="false">
      <c r="B22" s="46"/>
      <c r="C22" s="50"/>
      <c r="D22" s="50"/>
      <c r="E22" s="57" t="s">
        <v>111</v>
      </c>
      <c r="F22" s="164" t="n">
        <v>50</v>
      </c>
      <c r="G22" s="121" t="n">
        <v>22.28</v>
      </c>
      <c r="H22" s="164" t="n">
        <v>20</v>
      </c>
      <c r="I22" s="164" t="n">
        <v>6.02</v>
      </c>
      <c r="J22" s="122" t="n">
        <f aca="false">SUM(G22,H22,I22)</f>
        <v>48.3</v>
      </c>
      <c r="K22" s="122" t="n">
        <f aca="false">5*H22</f>
        <v>100</v>
      </c>
      <c r="L22" s="122" t="n">
        <f aca="false">'Field capacity and SPT density'!$U$13</f>
        <v>1.69640983536219</v>
      </c>
      <c r="M22" s="122" t="n">
        <f aca="false">J22+K22*L22</f>
        <v>217.940983536219</v>
      </c>
      <c r="N22" s="122" t="n">
        <f aca="false">M22-H22-G22</f>
        <v>175.660983536219</v>
      </c>
      <c r="O22" s="122" t="n">
        <f aca="false">(N22/$G$8)</f>
        <v>109.788114710137</v>
      </c>
      <c r="P22" s="122" t="n">
        <f aca="false">H22/2.65</f>
        <v>7.54716981132076</v>
      </c>
      <c r="Q22" s="122" t="n">
        <f aca="false">O22+P22</f>
        <v>117.335284521458</v>
      </c>
      <c r="R22" s="165" t="n">
        <f aca="false">F22*Q22</f>
        <v>5866.76422607289</v>
      </c>
      <c r="S22" s="166" t="n">
        <f aca="false">ROUND(R22/$G$9,0)</f>
        <v>117</v>
      </c>
      <c r="T22" s="167" t="n">
        <f aca="false">INT(S22/60)+(MOD(S22,60)/100)</f>
        <v>1.57</v>
      </c>
      <c r="U22" s="48"/>
    </row>
    <row r="23" customFormat="false" ht="14.1" hidden="false" customHeight="true" outlineLevel="0" collapsed="false">
      <c r="B23" s="46"/>
      <c r="C23" s="50"/>
      <c r="D23" s="50"/>
      <c r="E23" s="57" t="s">
        <v>114</v>
      </c>
      <c r="F23" s="164" t="n">
        <v>0</v>
      </c>
      <c r="G23" s="121" t="n">
        <v>22.82</v>
      </c>
      <c r="H23" s="164" t="n">
        <v>20</v>
      </c>
      <c r="I23" s="164" t="n">
        <v>6.02</v>
      </c>
      <c r="J23" s="122" t="n">
        <f aca="false">SUM(G23,H23,I23)</f>
        <v>48.84</v>
      </c>
      <c r="K23" s="122" t="n">
        <f aca="false">5*H23</f>
        <v>100</v>
      </c>
      <c r="L23" s="122" t="n">
        <f aca="false">'Field capacity and SPT density'!$U$13</f>
        <v>1.69640983536219</v>
      </c>
      <c r="M23" s="122" t="n">
        <f aca="false">J23+K23*L23</f>
        <v>218.480983536219</v>
      </c>
      <c r="N23" s="122" t="n">
        <f aca="false">M23-H23-G23</f>
        <v>175.660983536219</v>
      </c>
      <c r="O23" s="122" t="n">
        <f aca="false">(N23/$G$8)</f>
        <v>109.788114710137</v>
      </c>
      <c r="P23" s="122" t="n">
        <f aca="false">H23/2.65</f>
        <v>7.54716981132076</v>
      </c>
      <c r="Q23" s="122" t="n">
        <f aca="false">O23+P23</f>
        <v>117.335284521458</v>
      </c>
      <c r="R23" s="165" t="n">
        <f aca="false">F23*Q23</f>
        <v>0</v>
      </c>
      <c r="S23" s="166" t="n">
        <f aca="false">ROUND(R23/$G$9,0)</f>
        <v>0</v>
      </c>
      <c r="T23" s="167" t="n">
        <f aca="false">INT(S23/60)+(MOD(S23,60)/100)</f>
        <v>0</v>
      </c>
      <c r="U23" s="48"/>
    </row>
    <row r="24" customFormat="false" ht="14.1" hidden="false" customHeight="true" outlineLevel="0" collapsed="false">
      <c r="B24" s="46"/>
      <c r="C24" s="50"/>
      <c r="D24" s="168"/>
      <c r="E24" s="169" t="s">
        <v>114</v>
      </c>
      <c r="F24" s="170" t="n">
        <v>50</v>
      </c>
      <c r="G24" s="171" t="n">
        <v>22.82</v>
      </c>
      <c r="H24" s="170" t="n">
        <v>20</v>
      </c>
      <c r="I24" s="170" t="n">
        <v>6.02</v>
      </c>
      <c r="J24" s="172" t="n">
        <f aca="false">SUM(G24,H24,I24)</f>
        <v>48.84</v>
      </c>
      <c r="K24" s="172" t="n">
        <f aca="false">5*H24</f>
        <v>100</v>
      </c>
      <c r="L24" s="172" t="n">
        <f aca="false">'Field capacity and SPT density'!$U$13</f>
        <v>1.69640983536219</v>
      </c>
      <c r="M24" s="172" t="n">
        <f aca="false">J24+K24*L24</f>
        <v>218.480983536219</v>
      </c>
      <c r="N24" s="172" t="n">
        <f aca="false">M24-H24-G24</f>
        <v>175.660983536219</v>
      </c>
      <c r="O24" s="172" t="n">
        <f aca="false">(N24/$G$8)</f>
        <v>109.788114710137</v>
      </c>
      <c r="P24" s="172" t="n">
        <f aca="false">H24/2.65</f>
        <v>7.54716981132076</v>
      </c>
      <c r="Q24" s="172" t="n">
        <f aca="false">O24+P24</f>
        <v>117.335284521458</v>
      </c>
      <c r="R24" s="173" t="n">
        <f aca="false">F24*Q24</f>
        <v>5866.76422607289</v>
      </c>
      <c r="S24" s="174" t="n">
        <f aca="false">ROUND(R24/$G$9,0)</f>
        <v>117</v>
      </c>
      <c r="T24" s="175" t="n">
        <f aca="false">INT(S24/60)+(MOD(S24,60)/100)</f>
        <v>1.57</v>
      </c>
      <c r="U24" s="48"/>
    </row>
    <row r="25" customFormat="false" ht="14.1" hidden="false" customHeight="true" outlineLevel="0" collapsed="false">
      <c r="B25" s="46"/>
      <c r="C25" s="50"/>
      <c r="D25" s="176" t="s">
        <v>159</v>
      </c>
      <c r="E25" s="177" t="s">
        <v>103</v>
      </c>
      <c r="F25" s="178" t="n">
        <v>0</v>
      </c>
      <c r="G25" s="179" t="n">
        <v>23.03</v>
      </c>
      <c r="H25" s="178" t="n">
        <v>20</v>
      </c>
      <c r="I25" s="180" t="n">
        <v>6.02</v>
      </c>
      <c r="J25" s="181" t="n">
        <f aca="false">SUM(G25,H25,I25)</f>
        <v>49.05</v>
      </c>
      <c r="K25" s="181" t="n">
        <f aca="false">5*H25</f>
        <v>100</v>
      </c>
      <c r="L25" s="181" t="n">
        <f aca="false">'Field capacity and SPT density'!$U$13</f>
        <v>1.69640983536219</v>
      </c>
      <c r="M25" s="181" t="n">
        <f aca="false">J25+K25*L25</f>
        <v>218.690983536219</v>
      </c>
      <c r="N25" s="181" t="n">
        <f aca="false">M25-H25-G25</f>
        <v>175.660983536219</v>
      </c>
      <c r="O25" s="181" t="n">
        <f aca="false">(N25/$G$8)</f>
        <v>109.788114710137</v>
      </c>
      <c r="P25" s="181" t="n">
        <f aca="false">H25/2.65</f>
        <v>7.54716981132076</v>
      </c>
      <c r="Q25" s="181" t="n">
        <f aca="false">O25+P25</f>
        <v>117.335284521458</v>
      </c>
      <c r="R25" s="182" t="n">
        <f aca="false">F25*Q25</f>
        <v>0</v>
      </c>
      <c r="S25" s="183" t="n">
        <f aca="false">ROUND(R25/$G$9,0)</f>
        <v>0</v>
      </c>
      <c r="T25" s="184" t="n">
        <f aca="false">INT(S25/60)+(MOD(S25,60)/100)</f>
        <v>0</v>
      </c>
      <c r="U25" s="48"/>
    </row>
    <row r="26" customFormat="false" ht="14.1" hidden="false" customHeight="true" outlineLevel="0" collapsed="false">
      <c r="B26" s="46"/>
      <c r="C26" s="50"/>
      <c r="D26" s="50"/>
      <c r="E26" s="57" t="s">
        <v>103</v>
      </c>
      <c r="F26" s="163" t="n">
        <v>50</v>
      </c>
      <c r="G26" s="121" t="n">
        <v>23.03</v>
      </c>
      <c r="H26" s="163" t="n">
        <v>20</v>
      </c>
      <c r="I26" s="164" t="n">
        <v>6.02</v>
      </c>
      <c r="J26" s="122" t="n">
        <f aca="false">SUM(G26,H26,I26)</f>
        <v>49.05</v>
      </c>
      <c r="K26" s="122" t="n">
        <f aca="false">5*H26</f>
        <v>100</v>
      </c>
      <c r="L26" s="122" t="n">
        <f aca="false">'Field capacity and SPT density'!$U$13</f>
        <v>1.69640983536219</v>
      </c>
      <c r="M26" s="122" t="n">
        <f aca="false">J26+K26*L26</f>
        <v>218.690983536219</v>
      </c>
      <c r="N26" s="122" t="n">
        <f aca="false">M26-H26-G26</f>
        <v>175.660983536219</v>
      </c>
      <c r="O26" s="122" t="n">
        <f aca="false">(N26/$G$8)</f>
        <v>109.788114710137</v>
      </c>
      <c r="P26" s="122" t="n">
        <f aca="false">H26/2.65</f>
        <v>7.54716981132076</v>
      </c>
      <c r="Q26" s="122" t="n">
        <f aca="false">O26+P26</f>
        <v>117.335284521458</v>
      </c>
      <c r="R26" s="165" t="n">
        <f aca="false">F26*Q26</f>
        <v>5866.76422607289</v>
      </c>
      <c r="S26" s="166" t="n">
        <f aca="false">ROUND(R26/$G$9,0)</f>
        <v>117</v>
      </c>
      <c r="T26" s="167" t="n">
        <f aca="false">INT(S26/60)+(MOD(S26,60)/100)</f>
        <v>1.57</v>
      </c>
      <c r="U26" s="48"/>
    </row>
    <row r="27" customFormat="false" ht="14.1" hidden="false" customHeight="true" outlineLevel="0" collapsed="false">
      <c r="B27" s="46"/>
      <c r="C27" s="50"/>
      <c r="D27" s="50"/>
      <c r="E27" s="57" t="s">
        <v>105</v>
      </c>
      <c r="F27" s="163" t="n">
        <v>0</v>
      </c>
      <c r="G27" s="121" t="n">
        <v>24.72</v>
      </c>
      <c r="H27" s="163" t="n">
        <v>20</v>
      </c>
      <c r="I27" s="164" t="n">
        <v>6.02</v>
      </c>
      <c r="J27" s="122" t="n">
        <f aca="false">SUM(G27,H27,I27)</f>
        <v>50.74</v>
      </c>
      <c r="K27" s="122" t="n">
        <f aca="false">5*H27</f>
        <v>100</v>
      </c>
      <c r="L27" s="122" t="n">
        <f aca="false">'Field capacity and SPT density'!$U$13</f>
        <v>1.69640983536219</v>
      </c>
      <c r="M27" s="122" t="n">
        <f aca="false">J27+K27*L27</f>
        <v>220.380983536219</v>
      </c>
      <c r="N27" s="122" t="n">
        <f aca="false">M27-H27-G27</f>
        <v>175.660983536219</v>
      </c>
      <c r="O27" s="122" t="n">
        <f aca="false">(N27/$G$8)</f>
        <v>109.788114710137</v>
      </c>
      <c r="P27" s="122" t="n">
        <f aca="false">H27/2.65</f>
        <v>7.54716981132076</v>
      </c>
      <c r="Q27" s="122" t="n">
        <f aca="false">O27+P27</f>
        <v>117.335284521458</v>
      </c>
      <c r="R27" s="165" t="n">
        <f aca="false">F27*Q27</f>
        <v>0</v>
      </c>
      <c r="S27" s="166" t="n">
        <f aca="false">ROUND(R27/$G$9,0)</f>
        <v>0</v>
      </c>
      <c r="T27" s="167" t="n">
        <f aca="false">INT(S27/60)+(MOD(S27,60)/100)</f>
        <v>0</v>
      </c>
      <c r="U27" s="48"/>
    </row>
    <row r="28" customFormat="false" ht="14.1" hidden="false" customHeight="true" outlineLevel="0" collapsed="false">
      <c r="B28" s="46"/>
      <c r="C28" s="50"/>
      <c r="D28" s="50"/>
      <c r="E28" s="57" t="s">
        <v>105</v>
      </c>
      <c r="F28" s="164" t="n">
        <v>50</v>
      </c>
      <c r="G28" s="121" t="n">
        <v>24.72</v>
      </c>
      <c r="H28" s="164" t="n">
        <v>20</v>
      </c>
      <c r="I28" s="164" t="n">
        <v>6.02</v>
      </c>
      <c r="J28" s="122" t="n">
        <f aca="false">SUM(G28,H28,I28)</f>
        <v>50.74</v>
      </c>
      <c r="K28" s="122" t="n">
        <f aca="false">5*H28</f>
        <v>100</v>
      </c>
      <c r="L28" s="122" t="n">
        <f aca="false">'Field capacity and SPT density'!$U$13</f>
        <v>1.69640983536219</v>
      </c>
      <c r="M28" s="122" t="n">
        <f aca="false">J28+K28*L28</f>
        <v>220.380983536219</v>
      </c>
      <c r="N28" s="122" t="n">
        <f aca="false">M28-H28-G28</f>
        <v>175.660983536219</v>
      </c>
      <c r="O28" s="122" t="n">
        <f aca="false">(N28/$G$8)</f>
        <v>109.788114710137</v>
      </c>
      <c r="P28" s="122" t="n">
        <f aca="false">H28/2.65</f>
        <v>7.54716981132076</v>
      </c>
      <c r="Q28" s="122" t="n">
        <f aca="false">O28+P28</f>
        <v>117.335284521458</v>
      </c>
      <c r="R28" s="165" t="n">
        <f aca="false">F28*Q28</f>
        <v>5866.76422607289</v>
      </c>
      <c r="S28" s="166" t="n">
        <f aca="false">ROUND(R28/$G$9,0)</f>
        <v>117</v>
      </c>
      <c r="T28" s="167" t="n">
        <f aca="false">INT(S28/60)+(MOD(S28,60)/100)</f>
        <v>1.57</v>
      </c>
      <c r="U28" s="48"/>
    </row>
    <row r="29" customFormat="false" ht="14.1" hidden="false" customHeight="true" outlineLevel="0" collapsed="false">
      <c r="B29" s="46"/>
      <c r="C29" s="50"/>
      <c r="D29" s="50"/>
      <c r="E29" s="57" t="s">
        <v>108</v>
      </c>
      <c r="F29" s="164" t="n">
        <v>0</v>
      </c>
      <c r="G29" s="121" t="n">
        <v>23.27</v>
      </c>
      <c r="H29" s="164" t="n">
        <v>20</v>
      </c>
      <c r="I29" s="164" t="n">
        <v>6.02</v>
      </c>
      <c r="J29" s="122" t="n">
        <f aca="false">SUM(G29,H29,I29)</f>
        <v>49.29</v>
      </c>
      <c r="K29" s="122" t="n">
        <f aca="false">5*H29</f>
        <v>100</v>
      </c>
      <c r="L29" s="122" t="n">
        <f aca="false">'Field capacity and SPT density'!$U$13</f>
        <v>1.69640983536219</v>
      </c>
      <c r="M29" s="122" t="n">
        <f aca="false">J29+K29*L29</f>
        <v>218.930983536219</v>
      </c>
      <c r="N29" s="122" t="n">
        <f aca="false">M29-H29-G29</f>
        <v>175.660983536219</v>
      </c>
      <c r="O29" s="122" t="n">
        <f aca="false">(N29/$G$8)</f>
        <v>109.788114710137</v>
      </c>
      <c r="P29" s="122" t="n">
        <f aca="false">H29/2.65</f>
        <v>7.54716981132076</v>
      </c>
      <c r="Q29" s="122" t="n">
        <f aca="false">O29+P29</f>
        <v>117.335284521458</v>
      </c>
      <c r="R29" s="165" t="n">
        <f aca="false">F29*Q29</f>
        <v>0</v>
      </c>
      <c r="S29" s="166" t="n">
        <f aca="false">ROUND(R29/$G$9,0)</f>
        <v>0</v>
      </c>
      <c r="T29" s="167" t="n">
        <f aca="false">INT(S29/60)+(MOD(S29,60)/100)</f>
        <v>0</v>
      </c>
      <c r="U29" s="48"/>
    </row>
    <row r="30" customFormat="false" ht="14.1" hidden="false" customHeight="true" outlineLevel="0" collapsed="false">
      <c r="B30" s="46"/>
      <c r="C30" s="50"/>
      <c r="D30" s="50"/>
      <c r="E30" s="57" t="s">
        <v>108</v>
      </c>
      <c r="F30" s="164" t="n">
        <v>50</v>
      </c>
      <c r="G30" s="121" t="n">
        <v>23.27</v>
      </c>
      <c r="H30" s="164" t="n">
        <v>20</v>
      </c>
      <c r="I30" s="164" t="n">
        <v>6.02</v>
      </c>
      <c r="J30" s="122" t="n">
        <f aca="false">SUM(G30,H30,I30)</f>
        <v>49.29</v>
      </c>
      <c r="K30" s="122" t="n">
        <f aca="false">5*H30</f>
        <v>100</v>
      </c>
      <c r="L30" s="122" t="n">
        <f aca="false">'Field capacity and SPT density'!$U$13</f>
        <v>1.69640983536219</v>
      </c>
      <c r="M30" s="122" t="n">
        <f aca="false">J30+K30*L30</f>
        <v>218.930983536219</v>
      </c>
      <c r="N30" s="122" t="n">
        <f aca="false">M30-H30-G30</f>
        <v>175.660983536219</v>
      </c>
      <c r="O30" s="122" t="n">
        <f aca="false">(N30/$G$8)</f>
        <v>109.788114710137</v>
      </c>
      <c r="P30" s="122" t="n">
        <f aca="false">H30/2.65</f>
        <v>7.54716981132076</v>
      </c>
      <c r="Q30" s="122" t="n">
        <f aca="false">O30+P30</f>
        <v>117.335284521458</v>
      </c>
      <c r="R30" s="165" t="n">
        <f aca="false">F30*Q30</f>
        <v>5866.76422607289</v>
      </c>
      <c r="S30" s="166" t="n">
        <f aca="false">ROUND(R30/$G$9,0)</f>
        <v>117</v>
      </c>
      <c r="T30" s="167" t="n">
        <f aca="false">INT(S30/60)+(MOD(S30,60)/100)</f>
        <v>1.57</v>
      </c>
      <c r="U30" s="48"/>
    </row>
    <row r="31" customFormat="false" ht="14.1" hidden="false" customHeight="true" outlineLevel="0" collapsed="false">
      <c r="B31" s="46"/>
      <c r="C31" s="50"/>
      <c r="D31" s="50"/>
      <c r="E31" s="57" t="s">
        <v>111</v>
      </c>
      <c r="F31" s="164" t="n">
        <v>0</v>
      </c>
      <c r="G31" s="121" t="n">
        <v>23.09</v>
      </c>
      <c r="H31" s="164" t="n">
        <v>20</v>
      </c>
      <c r="I31" s="164" t="n">
        <v>6.02</v>
      </c>
      <c r="J31" s="122" t="n">
        <f aca="false">SUM(G31,H31,I31)</f>
        <v>49.11</v>
      </c>
      <c r="K31" s="122" t="n">
        <f aca="false">5*H31</f>
        <v>100</v>
      </c>
      <c r="L31" s="122" t="n">
        <f aca="false">'Field capacity and SPT density'!$U$13</f>
        <v>1.69640983536219</v>
      </c>
      <c r="M31" s="122" t="n">
        <f aca="false">J31+K31*L31</f>
        <v>218.750983536219</v>
      </c>
      <c r="N31" s="122" t="n">
        <f aca="false">M31-H31-G31</f>
        <v>175.660983536219</v>
      </c>
      <c r="O31" s="122" t="n">
        <f aca="false">(N31/$G$8)</f>
        <v>109.788114710137</v>
      </c>
      <c r="P31" s="122" t="n">
        <f aca="false">H31/2.65</f>
        <v>7.54716981132076</v>
      </c>
      <c r="Q31" s="122" t="n">
        <f aca="false">O31+P31</f>
        <v>117.335284521458</v>
      </c>
      <c r="R31" s="165" t="n">
        <f aca="false">F31*Q31</f>
        <v>0</v>
      </c>
      <c r="S31" s="166" t="n">
        <f aca="false">ROUND(R31/$G$9,0)</f>
        <v>0</v>
      </c>
      <c r="T31" s="167" t="n">
        <f aca="false">INT(S31/60)+(MOD(S31,60)/100)</f>
        <v>0</v>
      </c>
      <c r="U31" s="48"/>
    </row>
    <row r="32" customFormat="false" ht="14.1" hidden="false" customHeight="true" outlineLevel="0" collapsed="false">
      <c r="B32" s="46"/>
      <c r="C32" s="50"/>
      <c r="D32" s="50"/>
      <c r="E32" s="57" t="s">
        <v>111</v>
      </c>
      <c r="F32" s="164" t="n">
        <v>50</v>
      </c>
      <c r="G32" s="121" t="n">
        <v>23.09</v>
      </c>
      <c r="H32" s="164" t="n">
        <v>20</v>
      </c>
      <c r="I32" s="164" t="n">
        <v>6.02</v>
      </c>
      <c r="J32" s="122" t="n">
        <f aca="false">SUM(G32,H32,I32)</f>
        <v>49.11</v>
      </c>
      <c r="K32" s="122" t="n">
        <f aca="false">5*H32</f>
        <v>100</v>
      </c>
      <c r="L32" s="122" t="n">
        <f aca="false">'Field capacity and SPT density'!$U$13</f>
        <v>1.69640983536219</v>
      </c>
      <c r="M32" s="122" t="n">
        <f aca="false">J32+K32*L32</f>
        <v>218.750983536219</v>
      </c>
      <c r="N32" s="122" t="n">
        <f aca="false">M32-H32-G32</f>
        <v>175.660983536219</v>
      </c>
      <c r="O32" s="122" t="n">
        <f aca="false">(N32/$G$8)</f>
        <v>109.788114710137</v>
      </c>
      <c r="P32" s="122" t="n">
        <f aca="false">H32/2.65</f>
        <v>7.54716981132076</v>
      </c>
      <c r="Q32" s="122" t="n">
        <f aca="false">O32+P32</f>
        <v>117.335284521458</v>
      </c>
      <c r="R32" s="165" t="n">
        <f aca="false">F32*Q32</f>
        <v>5866.76422607289</v>
      </c>
      <c r="S32" s="166" t="n">
        <f aca="false">ROUND(R32/$G$9,0)</f>
        <v>117</v>
      </c>
      <c r="T32" s="167" t="n">
        <f aca="false">INT(S32/60)+(MOD(S32,60)/100)</f>
        <v>1.57</v>
      </c>
      <c r="U32" s="48"/>
    </row>
    <row r="33" customFormat="false" ht="14.1" hidden="false" customHeight="true" outlineLevel="0" collapsed="false">
      <c r="B33" s="46"/>
      <c r="C33" s="50"/>
      <c r="D33" s="50"/>
      <c r="E33" s="57" t="s">
        <v>114</v>
      </c>
      <c r="F33" s="164" t="n">
        <v>0</v>
      </c>
      <c r="G33" s="121" t="n">
        <v>22.82</v>
      </c>
      <c r="H33" s="164" t="n">
        <v>20</v>
      </c>
      <c r="I33" s="164" t="n">
        <v>6.02</v>
      </c>
      <c r="J33" s="122" t="n">
        <f aca="false">SUM(G33,H33,I33)</f>
        <v>48.84</v>
      </c>
      <c r="K33" s="122" t="n">
        <f aca="false">5*H33</f>
        <v>100</v>
      </c>
      <c r="L33" s="122" t="n">
        <f aca="false">'Field capacity and SPT density'!$U$13</f>
        <v>1.69640983536219</v>
      </c>
      <c r="M33" s="122" t="n">
        <f aca="false">J33+K33*L33</f>
        <v>218.480983536219</v>
      </c>
      <c r="N33" s="122" t="n">
        <f aca="false">M33-H33-G33</f>
        <v>175.660983536219</v>
      </c>
      <c r="O33" s="122" t="n">
        <f aca="false">(N33/$G$8)</f>
        <v>109.788114710137</v>
      </c>
      <c r="P33" s="122" t="n">
        <f aca="false">H33/2.65</f>
        <v>7.54716981132076</v>
      </c>
      <c r="Q33" s="122" t="n">
        <f aca="false">O33+P33</f>
        <v>117.335284521458</v>
      </c>
      <c r="R33" s="165" t="n">
        <f aca="false">F33*Q33</f>
        <v>0</v>
      </c>
      <c r="S33" s="166" t="n">
        <f aca="false">ROUND(R33/$G$9,0)</f>
        <v>0</v>
      </c>
      <c r="T33" s="167" t="n">
        <f aca="false">INT(S33/60)+(MOD(S33,60)/100)</f>
        <v>0</v>
      </c>
      <c r="U33" s="48"/>
    </row>
    <row r="34" customFormat="false" ht="14.1" hidden="false" customHeight="true" outlineLevel="0" collapsed="false">
      <c r="B34" s="46"/>
      <c r="C34" s="50"/>
      <c r="D34" s="168"/>
      <c r="E34" s="169" t="s">
        <v>114</v>
      </c>
      <c r="F34" s="170" t="n">
        <v>50</v>
      </c>
      <c r="G34" s="171" t="n">
        <v>22.82</v>
      </c>
      <c r="H34" s="170" t="n">
        <v>20</v>
      </c>
      <c r="I34" s="170" t="n">
        <v>6.02</v>
      </c>
      <c r="J34" s="172" t="n">
        <f aca="false">SUM(G34,H34,I34)</f>
        <v>48.84</v>
      </c>
      <c r="K34" s="172" t="n">
        <f aca="false">5*H34</f>
        <v>100</v>
      </c>
      <c r="L34" s="172" t="n">
        <f aca="false">'Field capacity and SPT density'!$U$13</f>
        <v>1.69640983536219</v>
      </c>
      <c r="M34" s="172" t="n">
        <f aca="false">J34+K34*L34</f>
        <v>218.480983536219</v>
      </c>
      <c r="N34" s="172" t="n">
        <f aca="false">M34-H34-G34</f>
        <v>175.660983536219</v>
      </c>
      <c r="O34" s="172" t="n">
        <f aca="false">(N34/$G$8)</f>
        <v>109.788114710137</v>
      </c>
      <c r="P34" s="172" t="n">
        <f aca="false">H34/2.65</f>
        <v>7.54716981132076</v>
      </c>
      <c r="Q34" s="172" t="n">
        <f aca="false">O34+P34</f>
        <v>117.335284521458</v>
      </c>
      <c r="R34" s="173" t="n">
        <f aca="false">F34*Q34</f>
        <v>5866.76422607289</v>
      </c>
      <c r="S34" s="174" t="n">
        <f aca="false">ROUND(R34/$G$9,0)</f>
        <v>117</v>
      </c>
      <c r="T34" s="175" t="n">
        <f aca="false">INT(S34/60)+(MOD(S34,60)/100)</f>
        <v>1.57</v>
      </c>
      <c r="U34" s="48"/>
    </row>
    <row r="35" customFormat="false" ht="14.1" hidden="false" customHeight="true" outlineLevel="0" collapsed="false">
      <c r="B35" s="46"/>
      <c r="C35" s="50"/>
      <c r="D35" s="176" t="s">
        <v>160</v>
      </c>
      <c r="E35" s="177" t="s">
        <v>103</v>
      </c>
      <c r="F35" s="178" t="n">
        <v>0</v>
      </c>
      <c r="G35" s="179" t="n">
        <v>22.85</v>
      </c>
      <c r="H35" s="178" t="n">
        <v>20</v>
      </c>
      <c r="I35" s="180" t="n">
        <v>6.02</v>
      </c>
      <c r="J35" s="181" t="n">
        <f aca="false">SUM(G35,H35,I35)</f>
        <v>48.87</v>
      </c>
      <c r="K35" s="181" t="n">
        <f aca="false">5*H35</f>
        <v>100</v>
      </c>
      <c r="L35" s="181" t="n">
        <f aca="false">'Field capacity and SPT density'!$U$13</f>
        <v>1.69640983536219</v>
      </c>
      <c r="M35" s="181" t="n">
        <f aca="false">J35+K35*L35</f>
        <v>218.510983536219</v>
      </c>
      <c r="N35" s="181" t="n">
        <f aca="false">M35-H35-G35</f>
        <v>175.660983536219</v>
      </c>
      <c r="O35" s="181" t="n">
        <f aca="false">(N35/$G$8)</f>
        <v>109.788114710137</v>
      </c>
      <c r="P35" s="181" t="n">
        <f aca="false">H35/2.65</f>
        <v>7.54716981132076</v>
      </c>
      <c r="Q35" s="181" t="n">
        <f aca="false">O35+P35</f>
        <v>117.335284521458</v>
      </c>
      <c r="R35" s="182" t="n">
        <f aca="false">F35*Q35</f>
        <v>0</v>
      </c>
      <c r="S35" s="183" t="n">
        <f aca="false">ROUND(R35/$G$9,0)</f>
        <v>0</v>
      </c>
      <c r="T35" s="184" t="n">
        <f aca="false">INT(S35/60)+(MOD(S35,60)/100)</f>
        <v>0</v>
      </c>
      <c r="U35" s="48"/>
    </row>
    <row r="36" customFormat="false" ht="14.1" hidden="false" customHeight="true" outlineLevel="0" collapsed="false">
      <c r="B36" s="46"/>
      <c r="C36" s="50"/>
      <c r="D36" s="50"/>
      <c r="E36" s="57" t="s">
        <v>103</v>
      </c>
      <c r="F36" s="163" t="n">
        <v>50</v>
      </c>
      <c r="G36" s="121" t="n">
        <v>22.85</v>
      </c>
      <c r="H36" s="163" t="n">
        <v>20</v>
      </c>
      <c r="I36" s="164" t="n">
        <v>6.02</v>
      </c>
      <c r="J36" s="122" t="n">
        <f aca="false">SUM(G36,H36,I36)</f>
        <v>48.87</v>
      </c>
      <c r="K36" s="122" t="n">
        <f aca="false">5*H36</f>
        <v>100</v>
      </c>
      <c r="L36" s="122" t="n">
        <f aca="false">'Field capacity and SPT density'!$U$13</f>
        <v>1.69640983536219</v>
      </c>
      <c r="M36" s="122" t="n">
        <f aca="false">J36+K36*L36</f>
        <v>218.510983536219</v>
      </c>
      <c r="N36" s="122" t="n">
        <f aca="false">M36-H36-G36</f>
        <v>175.660983536219</v>
      </c>
      <c r="O36" s="122" t="n">
        <f aca="false">(N36/$G$8)</f>
        <v>109.788114710137</v>
      </c>
      <c r="P36" s="122" t="n">
        <f aca="false">H36/2.65</f>
        <v>7.54716981132076</v>
      </c>
      <c r="Q36" s="122" t="n">
        <f aca="false">O36+P36</f>
        <v>117.335284521458</v>
      </c>
      <c r="R36" s="165" t="n">
        <f aca="false">F36*Q36</f>
        <v>5866.76422607289</v>
      </c>
      <c r="S36" s="166" t="n">
        <f aca="false">ROUND(R36/$G$9,0)</f>
        <v>117</v>
      </c>
      <c r="T36" s="167" t="n">
        <f aca="false">INT(S36/60)+(MOD(S36,60)/100)</f>
        <v>1.57</v>
      </c>
      <c r="U36" s="48"/>
    </row>
    <row r="37" customFormat="false" ht="14.1" hidden="false" customHeight="true" outlineLevel="0" collapsed="false">
      <c r="B37" s="46"/>
      <c r="C37" s="50"/>
      <c r="D37" s="50"/>
      <c r="E37" s="57" t="s">
        <v>105</v>
      </c>
      <c r="F37" s="163" t="n">
        <v>0</v>
      </c>
      <c r="G37" s="121" t="n">
        <v>24.32</v>
      </c>
      <c r="H37" s="163" t="n">
        <v>20</v>
      </c>
      <c r="I37" s="164" t="n">
        <v>6.02</v>
      </c>
      <c r="J37" s="122" t="n">
        <f aca="false">SUM(G37,H37,I37)</f>
        <v>50.34</v>
      </c>
      <c r="K37" s="122" t="n">
        <f aca="false">5*H37</f>
        <v>100</v>
      </c>
      <c r="L37" s="122" t="n">
        <f aca="false">'Field capacity and SPT density'!$U$13</f>
        <v>1.69640983536219</v>
      </c>
      <c r="M37" s="122" t="n">
        <f aca="false">J37+K37*L37</f>
        <v>219.980983536219</v>
      </c>
      <c r="N37" s="122" t="n">
        <f aca="false">M37-H37-G37</f>
        <v>175.660983536219</v>
      </c>
      <c r="O37" s="122" t="n">
        <f aca="false">(N37/$G$8)</f>
        <v>109.788114710137</v>
      </c>
      <c r="P37" s="122" t="n">
        <f aca="false">H37/2.65</f>
        <v>7.54716981132076</v>
      </c>
      <c r="Q37" s="122" t="n">
        <f aca="false">O37+P37</f>
        <v>117.335284521458</v>
      </c>
      <c r="R37" s="165" t="n">
        <f aca="false">F37*Q37</f>
        <v>0</v>
      </c>
      <c r="S37" s="166" t="n">
        <f aca="false">ROUND(R37/$G$9,0)</f>
        <v>0</v>
      </c>
      <c r="T37" s="167" t="n">
        <f aca="false">INT(S37/60)+(MOD(S37,60)/100)</f>
        <v>0</v>
      </c>
      <c r="U37" s="48"/>
    </row>
    <row r="38" customFormat="false" ht="14.1" hidden="false" customHeight="true" outlineLevel="0" collapsed="false">
      <c r="B38" s="46"/>
      <c r="C38" s="50"/>
      <c r="D38" s="50"/>
      <c r="E38" s="57" t="s">
        <v>105</v>
      </c>
      <c r="F38" s="164" t="n">
        <v>50</v>
      </c>
      <c r="G38" s="121" t="n">
        <v>24.32</v>
      </c>
      <c r="H38" s="164" t="n">
        <v>20</v>
      </c>
      <c r="I38" s="164" t="n">
        <v>6.02</v>
      </c>
      <c r="J38" s="122" t="n">
        <f aca="false">SUM(G38,H38,I38)</f>
        <v>50.34</v>
      </c>
      <c r="K38" s="122" t="n">
        <f aca="false">5*H38</f>
        <v>100</v>
      </c>
      <c r="L38" s="122" t="n">
        <f aca="false">'Field capacity and SPT density'!$U$13</f>
        <v>1.69640983536219</v>
      </c>
      <c r="M38" s="122" t="n">
        <f aca="false">J38+K38*L38</f>
        <v>219.980983536219</v>
      </c>
      <c r="N38" s="122" t="n">
        <f aca="false">M38-H38-G38</f>
        <v>175.660983536219</v>
      </c>
      <c r="O38" s="122" t="n">
        <f aca="false">(N38/$G$8)</f>
        <v>109.788114710137</v>
      </c>
      <c r="P38" s="122" t="n">
        <f aca="false">H38/2.65</f>
        <v>7.54716981132076</v>
      </c>
      <c r="Q38" s="122" t="n">
        <f aca="false">O38+P38</f>
        <v>117.335284521458</v>
      </c>
      <c r="R38" s="165" t="n">
        <f aca="false">F38*Q38</f>
        <v>5866.76422607289</v>
      </c>
      <c r="S38" s="166" t="n">
        <f aca="false">ROUND(R38/$G$9,0)</f>
        <v>117</v>
      </c>
      <c r="T38" s="167" t="n">
        <f aca="false">INT(S38/60)+(MOD(S38,60)/100)</f>
        <v>1.57</v>
      </c>
      <c r="U38" s="48"/>
    </row>
    <row r="39" customFormat="false" ht="14.1" hidden="false" customHeight="true" outlineLevel="0" collapsed="false">
      <c r="B39" s="46"/>
      <c r="C39" s="50"/>
      <c r="D39" s="50"/>
      <c r="E39" s="57" t="s">
        <v>108</v>
      </c>
      <c r="F39" s="164" t="n">
        <v>0</v>
      </c>
      <c r="G39" s="121" t="n">
        <v>22.71</v>
      </c>
      <c r="H39" s="164" t="n">
        <v>20</v>
      </c>
      <c r="I39" s="164" t="n">
        <v>6.02</v>
      </c>
      <c r="J39" s="122" t="n">
        <f aca="false">SUM(G39,H39,I39)</f>
        <v>48.73</v>
      </c>
      <c r="K39" s="122" t="n">
        <f aca="false">5*H39</f>
        <v>100</v>
      </c>
      <c r="L39" s="122" t="n">
        <f aca="false">'Field capacity and SPT density'!$U$13</f>
        <v>1.69640983536219</v>
      </c>
      <c r="M39" s="122" t="n">
        <f aca="false">J39+K39*L39</f>
        <v>218.370983536219</v>
      </c>
      <c r="N39" s="122" t="n">
        <f aca="false">M39-H39-G39</f>
        <v>175.660983536219</v>
      </c>
      <c r="O39" s="122" t="n">
        <f aca="false">(N39/$G$8)</f>
        <v>109.788114710137</v>
      </c>
      <c r="P39" s="122" t="n">
        <f aca="false">H39/2.65</f>
        <v>7.54716981132076</v>
      </c>
      <c r="Q39" s="122" t="n">
        <f aca="false">O39+P39</f>
        <v>117.335284521458</v>
      </c>
      <c r="R39" s="165" t="n">
        <f aca="false">F39*Q39</f>
        <v>0</v>
      </c>
      <c r="S39" s="166" t="n">
        <f aca="false">ROUND(R39/$G$9,0)</f>
        <v>0</v>
      </c>
      <c r="T39" s="167" t="n">
        <f aca="false">INT(S39/60)+(MOD(S39,60)/100)</f>
        <v>0</v>
      </c>
      <c r="U39" s="48"/>
    </row>
    <row r="40" customFormat="false" ht="14.1" hidden="false" customHeight="true" outlineLevel="0" collapsed="false">
      <c r="B40" s="46"/>
      <c r="C40" s="50"/>
      <c r="D40" s="50"/>
      <c r="E40" s="57" t="s">
        <v>108</v>
      </c>
      <c r="F40" s="164" t="n">
        <v>50</v>
      </c>
      <c r="G40" s="121" t="n">
        <v>22.71</v>
      </c>
      <c r="H40" s="164" t="n">
        <v>20</v>
      </c>
      <c r="I40" s="164" t="n">
        <v>6.02</v>
      </c>
      <c r="J40" s="122" t="n">
        <f aca="false">SUM(G40,H40,I40)</f>
        <v>48.73</v>
      </c>
      <c r="K40" s="122" t="n">
        <f aca="false">5*H40</f>
        <v>100</v>
      </c>
      <c r="L40" s="122" t="n">
        <f aca="false">'Field capacity and SPT density'!$U$13</f>
        <v>1.69640983536219</v>
      </c>
      <c r="M40" s="122" t="n">
        <f aca="false">J40+K40*L40</f>
        <v>218.370983536219</v>
      </c>
      <c r="N40" s="122" t="n">
        <f aca="false">M40-H40-G40</f>
        <v>175.660983536219</v>
      </c>
      <c r="O40" s="122" t="n">
        <f aca="false">(N40/$G$8)</f>
        <v>109.788114710137</v>
      </c>
      <c r="P40" s="122" t="n">
        <f aca="false">H40/2.65</f>
        <v>7.54716981132076</v>
      </c>
      <c r="Q40" s="122" t="n">
        <f aca="false">O40+P40</f>
        <v>117.335284521458</v>
      </c>
      <c r="R40" s="165" t="n">
        <f aca="false">F40*Q40</f>
        <v>5866.76422607289</v>
      </c>
      <c r="S40" s="166" t="n">
        <f aca="false">ROUND(R40/$G$9,0)</f>
        <v>117</v>
      </c>
      <c r="T40" s="167" t="n">
        <f aca="false">INT(S40/60)+(MOD(S40,60)/100)</f>
        <v>1.57</v>
      </c>
      <c r="U40" s="48"/>
    </row>
    <row r="41" customFormat="false" ht="14.1" hidden="false" customHeight="true" outlineLevel="0" collapsed="false">
      <c r="B41" s="46"/>
      <c r="C41" s="50"/>
      <c r="D41" s="50"/>
      <c r="E41" s="57" t="s">
        <v>111</v>
      </c>
      <c r="F41" s="164" t="n">
        <v>0</v>
      </c>
      <c r="G41" s="121" t="n">
        <v>23.86</v>
      </c>
      <c r="H41" s="164" t="n">
        <v>20</v>
      </c>
      <c r="I41" s="164" t="n">
        <v>6.02</v>
      </c>
      <c r="J41" s="122" t="n">
        <f aca="false">SUM(G41,H41,I41)</f>
        <v>49.88</v>
      </c>
      <c r="K41" s="122" t="n">
        <f aca="false">5*H41</f>
        <v>100</v>
      </c>
      <c r="L41" s="122" t="n">
        <f aca="false">'Field capacity and SPT density'!$U$13</f>
        <v>1.69640983536219</v>
      </c>
      <c r="M41" s="122" t="n">
        <f aca="false">J41+K41*L41</f>
        <v>219.520983536219</v>
      </c>
      <c r="N41" s="122" t="n">
        <f aca="false">M41-H41-G41</f>
        <v>175.660983536219</v>
      </c>
      <c r="O41" s="122" t="n">
        <f aca="false">(N41/$G$8)</f>
        <v>109.788114710137</v>
      </c>
      <c r="P41" s="122" t="n">
        <f aca="false">H41/2.65</f>
        <v>7.54716981132076</v>
      </c>
      <c r="Q41" s="122" t="n">
        <f aca="false">O41+P41</f>
        <v>117.335284521458</v>
      </c>
      <c r="R41" s="165" t="n">
        <f aca="false">F41*Q41</f>
        <v>0</v>
      </c>
      <c r="S41" s="166" t="n">
        <f aca="false">ROUND(R41/$G$9,0)</f>
        <v>0</v>
      </c>
      <c r="T41" s="167" t="n">
        <f aca="false">INT(S41/60)+(MOD(S41,60)/100)</f>
        <v>0</v>
      </c>
      <c r="U41" s="48"/>
    </row>
    <row r="42" customFormat="false" ht="14.1" hidden="false" customHeight="true" outlineLevel="0" collapsed="false">
      <c r="B42" s="46"/>
      <c r="C42" s="50"/>
      <c r="D42" s="50"/>
      <c r="E42" s="57" t="s">
        <v>111</v>
      </c>
      <c r="F42" s="164" t="n">
        <v>50</v>
      </c>
      <c r="G42" s="121" t="n">
        <v>23.86</v>
      </c>
      <c r="H42" s="164" t="n">
        <v>20</v>
      </c>
      <c r="I42" s="164" t="n">
        <v>6.02</v>
      </c>
      <c r="J42" s="122" t="n">
        <f aca="false">SUM(G42,H42,I42)</f>
        <v>49.88</v>
      </c>
      <c r="K42" s="122" t="n">
        <f aca="false">5*H42</f>
        <v>100</v>
      </c>
      <c r="L42" s="122" t="n">
        <f aca="false">'Field capacity and SPT density'!$U$13</f>
        <v>1.69640983536219</v>
      </c>
      <c r="M42" s="122" t="n">
        <f aca="false">J42+K42*L42</f>
        <v>219.520983536219</v>
      </c>
      <c r="N42" s="122" t="n">
        <f aca="false">M42-H42-G42</f>
        <v>175.660983536219</v>
      </c>
      <c r="O42" s="122" t="n">
        <f aca="false">(N42/$G$8)</f>
        <v>109.788114710137</v>
      </c>
      <c r="P42" s="122" t="n">
        <f aca="false">H42/2.65</f>
        <v>7.54716981132076</v>
      </c>
      <c r="Q42" s="122" t="n">
        <f aca="false">O42+P42</f>
        <v>117.335284521458</v>
      </c>
      <c r="R42" s="165" t="n">
        <f aca="false">F42*Q42</f>
        <v>5866.76422607289</v>
      </c>
      <c r="S42" s="166" t="n">
        <f aca="false">ROUND(R42/$G$9,0)</f>
        <v>117</v>
      </c>
      <c r="T42" s="167" t="n">
        <f aca="false">INT(S42/60)+(MOD(S42,60)/100)</f>
        <v>1.57</v>
      </c>
      <c r="U42" s="48"/>
    </row>
    <row r="43" customFormat="false" ht="14.1" hidden="false" customHeight="true" outlineLevel="0" collapsed="false">
      <c r="B43" s="46"/>
      <c r="C43" s="50"/>
      <c r="D43" s="50"/>
      <c r="E43" s="57" t="s">
        <v>114</v>
      </c>
      <c r="F43" s="164" t="n">
        <v>0</v>
      </c>
      <c r="G43" s="121" t="n">
        <v>24.14</v>
      </c>
      <c r="H43" s="164" t="n">
        <v>20</v>
      </c>
      <c r="I43" s="164" t="n">
        <v>6.02</v>
      </c>
      <c r="J43" s="122" t="n">
        <f aca="false">SUM(G43,H43,I43)</f>
        <v>50.16</v>
      </c>
      <c r="K43" s="122" t="n">
        <f aca="false">5*H43</f>
        <v>100</v>
      </c>
      <c r="L43" s="122" t="n">
        <f aca="false">'Field capacity and SPT density'!$U$13</f>
        <v>1.69640983536219</v>
      </c>
      <c r="M43" s="122" t="n">
        <f aca="false">J43+K43*L43</f>
        <v>219.800983536219</v>
      </c>
      <c r="N43" s="122" t="n">
        <f aca="false">M43-H43-G43</f>
        <v>175.660983536219</v>
      </c>
      <c r="O43" s="122" t="n">
        <f aca="false">(N43/$G$8)</f>
        <v>109.788114710137</v>
      </c>
      <c r="P43" s="122" t="n">
        <f aca="false">H43/2.65</f>
        <v>7.54716981132076</v>
      </c>
      <c r="Q43" s="122" t="n">
        <f aca="false">O43+P43</f>
        <v>117.335284521458</v>
      </c>
      <c r="R43" s="165" t="n">
        <f aca="false">F43*Q43</f>
        <v>0</v>
      </c>
      <c r="S43" s="166" t="n">
        <f aca="false">ROUND(R43/$G$9,0)</f>
        <v>0</v>
      </c>
      <c r="T43" s="167" t="n">
        <f aca="false">INT(S43/60)+(MOD(S43,60)/100)</f>
        <v>0</v>
      </c>
      <c r="U43" s="48"/>
    </row>
    <row r="44" customFormat="false" ht="14.1" hidden="false" customHeight="true" outlineLevel="0" collapsed="false">
      <c r="B44" s="46"/>
      <c r="C44" s="50"/>
      <c r="D44" s="168"/>
      <c r="E44" s="169" t="s">
        <v>114</v>
      </c>
      <c r="F44" s="170" t="n">
        <v>50</v>
      </c>
      <c r="G44" s="171" t="n">
        <v>24.14</v>
      </c>
      <c r="H44" s="170" t="n">
        <v>20</v>
      </c>
      <c r="I44" s="170" t="n">
        <v>6.02</v>
      </c>
      <c r="J44" s="172" t="n">
        <f aca="false">SUM(G44,H44,I44)</f>
        <v>50.16</v>
      </c>
      <c r="K44" s="172" t="n">
        <f aca="false">5*H44</f>
        <v>100</v>
      </c>
      <c r="L44" s="172" t="n">
        <f aca="false">'Field capacity and SPT density'!$U$13</f>
        <v>1.69640983536219</v>
      </c>
      <c r="M44" s="172" t="n">
        <f aca="false">J44+K44*L44</f>
        <v>219.800983536219</v>
      </c>
      <c r="N44" s="172" t="n">
        <f aca="false">M44-H44-G44</f>
        <v>175.660983536219</v>
      </c>
      <c r="O44" s="172" t="n">
        <f aca="false">(N44/$G$8)</f>
        <v>109.788114710137</v>
      </c>
      <c r="P44" s="172" t="n">
        <f aca="false">H44/2.65</f>
        <v>7.54716981132076</v>
      </c>
      <c r="Q44" s="172" t="n">
        <f aca="false">O44+P44</f>
        <v>117.335284521458</v>
      </c>
      <c r="R44" s="173" t="n">
        <f aca="false">F44*Q44</f>
        <v>5866.76422607289</v>
      </c>
      <c r="S44" s="174" t="n">
        <f aca="false">ROUND(R44/$G$9,0)</f>
        <v>117</v>
      </c>
      <c r="T44" s="175" t="n">
        <f aca="false">INT(S44/60)+(MOD(S44,60)/100)</f>
        <v>1.57</v>
      </c>
      <c r="U44" s="48"/>
    </row>
    <row r="45" customFormat="false" ht="14.1" hidden="false" customHeight="true" outlineLevel="0" collapsed="false">
      <c r="B45" s="46"/>
      <c r="C45" s="50"/>
      <c r="D45" s="50" t="s">
        <v>161</v>
      </c>
      <c r="E45" s="57" t="s">
        <v>103</v>
      </c>
      <c r="F45" s="163" t="n">
        <v>0</v>
      </c>
      <c r="G45" s="121" t="n">
        <v>24.24</v>
      </c>
      <c r="H45" s="163" t="n">
        <v>20</v>
      </c>
      <c r="I45" s="164" t="n">
        <v>6.02</v>
      </c>
      <c r="J45" s="122" t="n">
        <f aca="false">SUM(G45,H45,I45)</f>
        <v>50.26</v>
      </c>
      <c r="K45" s="122" t="n">
        <f aca="false">5*H45</f>
        <v>100</v>
      </c>
      <c r="L45" s="122" t="n">
        <f aca="false">'Field capacity and SPT density'!$U$13</f>
        <v>1.69640983536219</v>
      </c>
      <c r="M45" s="122" t="n">
        <f aca="false">J45+K45*L45</f>
        <v>219.900983536219</v>
      </c>
      <c r="N45" s="122" t="n">
        <f aca="false">M45-H45-G45</f>
        <v>175.660983536219</v>
      </c>
      <c r="O45" s="122" t="n">
        <f aca="false">(N45/$G$8)</f>
        <v>109.788114710137</v>
      </c>
      <c r="P45" s="122" t="n">
        <f aca="false">H45/2.65</f>
        <v>7.54716981132076</v>
      </c>
      <c r="Q45" s="122" t="n">
        <f aca="false">O45+P45</f>
        <v>117.335284521458</v>
      </c>
      <c r="R45" s="165" t="n">
        <f aca="false">F45*Q45</f>
        <v>0</v>
      </c>
      <c r="S45" s="166" t="n">
        <f aca="false">ROUND(R45/$G$9,0)</f>
        <v>0</v>
      </c>
      <c r="T45" s="167" t="n">
        <f aca="false">INT(S45/60)+(MOD(S45,60)/100)</f>
        <v>0</v>
      </c>
      <c r="U45" s="48"/>
    </row>
    <row r="46" customFormat="false" ht="14.1" hidden="false" customHeight="true" outlineLevel="0" collapsed="false">
      <c r="B46" s="46"/>
      <c r="C46" s="50"/>
      <c r="D46" s="50"/>
      <c r="E46" s="57" t="s">
        <v>103</v>
      </c>
      <c r="F46" s="163" t="n">
        <v>50</v>
      </c>
      <c r="G46" s="121" t="n">
        <v>24.24</v>
      </c>
      <c r="H46" s="163" t="n">
        <v>20</v>
      </c>
      <c r="I46" s="164" t="n">
        <v>6.02</v>
      </c>
      <c r="J46" s="122" t="n">
        <f aca="false">SUM(G46,H46,I46)</f>
        <v>50.26</v>
      </c>
      <c r="K46" s="122" t="n">
        <f aca="false">5*H46</f>
        <v>100</v>
      </c>
      <c r="L46" s="122" t="n">
        <f aca="false">'Field capacity and SPT density'!$U$13</f>
        <v>1.69640983536219</v>
      </c>
      <c r="M46" s="122" t="n">
        <f aca="false">J46+K46*L46</f>
        <v>219.900983536219</v>
      </c>
      <c r="N46" s="122" t="n">
        <f aca="false">M46-H46-G46</f>
        <v>175.660983536219</v>
      </c>
      <c r="O46" s="122" t="n">
        <f aca="false">(N46/$G$8)</f>
        <v>109.788114710137</v>
      </c>
      <c r="P46" s="122" t="n">
        <f aca="false">H46/2.65</f>
        <v>7.54716981132076</v>
      </c>
      <c r="Q46" s="122" t="n">
        <f aca="false">O46+P46</f>
        <v>117.335284521458</v>
      </c>
      <c r="R46" s="165" t="n">
        <f aca="false">F46*Q46</f>
        <v>5866.76422607289</v>
      </c>
      <c r="S46" s="166" t="n">
        <f aca="false">ROUND(R46/$G$9,0)</f>
        <v>117</v>
      </c>
      <c r="T46" s="167" t="n">
        <f aca="false">INT(S46/60)+(MOD(S46,60)/100)</f>
        <v>1.57</v>
      </c>
      <c r="U46" s="48"/>
    </row>
    <row r="47" customFormat="false" ht="14.1" hidden="false" customHeight="true" outlineLevel="0" collapsed="false">
      <c r="B47" s="46"/>
      <c r="C47" s="50"/>
      <c r="D47" s="50"/>
      <c r="E47" s="57" t="s">
        <v>105</v>
      </c>
      <c r="F47" s="163" t="n">
        <v>0</v>
      </c>
      <c r="G47" s="121" t="n">
        <v>23.01</v>
      </c>
      <c r="H47" s="163" t="n">
        <v>20</v>
      </c>
      <c r="I47" s="164" t="n">
        <v>6.02</v>
      </c>
      <c r="J47" s="122" t="n">
        <f aca="false">SUM(G47,H47,I47)</f>
        <v>49.03</v>
      </c>
      <c r="K47" s="122" t="n">
        <f aca="false">5*H47</f>
        <v>100</v>
      </c>
      <c r="L47" s="122" t="n">
        <f aca="false">'Field capacity and SPT density'!$U$13</f>
        <v>1.69640983536219</v>
      </c>
      <c r="M47" s="122" t="n">
        <f aca="false">J47+K47*L47</f>
        <v>218.670983536219</v>
      </c>
      <c r="N47" s="122" t="n">
        <f aca="false">M47-H47-G47</f>
        <v>175.660983536219</v>
      </c>
      <c r="O47" s="122" t="n">
        <f aca="false">(N47/$G$8)</f>
        <v>109.788114710137</v>
      </c>
      <c r="P47" s="122" t="n">
        <f aca="false">H47/2.65</f>
        <v>7.54716981132076</v>
      </c>
      <c r="Q47" s="122" t="n">
        <f aca="false">O47+P47</f>
        <v>117.335284521458</v>
      </c>
      <c r="R47" s="165" t="n">
        <f aca="false">F47*Q47</f>
        <v>0</v>
      </c>
      <c r="S47" s="166" t="n">
        <f aca="false">ROUND(R47/$G$9,0)</f>
        <v>0</v>
      </c>
      <c r="T47" s="167" t="n">
        <f aca="false">INT(S47/60)+(MOD(S47,60)/100)</f>
        <v>0</v>
      </c>
      <c r="U47" s="48"/>
    </row>
    <row r="48" customFormat="false" ht="14.1" hidden="false" customHeight="true" outlineLevel="0" collapsed="false">
      <c r="B48" s="46"/>
      <c r="C48" s="50"/>
      <c r="D48" s="50"/>
      <c r="E48" s="57" t="s">
        <v>105</v>
      </c>
      <c r="F48" s="164" t="n">
        <v>50</v>
      </c>
      <c r="G48" s="121" t="n">
        <v>23.01</v>
      </c>
      <c r="H48" s="164" t="n">
        <v>20</v>
      </c>
      <c r="I48" s="164" t="n">
        <v>6.02</v>
      </c>
      <c r="J48" s="122" t="n">
        <f aca="false">SUM(G48,H48,I48)</f>
        <v>49.03</v>
      </c>
      <c r="K48" s="122" t="n">
        <f aca="false">5*H48</f>
        <v>100</v>
      </c>
      <c r="L48" s="122" t="n">
        <f aca="false">'Field capacity and SPT density'!$U$13</f>
        <v>1.69640983536219</v>
      </c>
      <c r="M48" s="122" t="n">
        <f aca="false">J48+K48*L48</f>
        <v>218.670983536219</v>
      </c>
      <c r="N48" s="122" t="n">
        <f aca="false">M48-H48-G48</f>
        <v>175.660983536219</v>
      </c>
      <c r="O48" s="122" t="n">
        <f aca="false">(N48/$G$8)</f>
        <v>109.788114710137</v>
      </c>
      <c r="P48" s="122" t="n">
        <f aca="false">H48/2.65</f>
        <v>7.54716981132076</v>
      </c>
      <c r="Q48" s="122" t="n">
        <f aca="false">O48+P48</f>
        <v>117.335284521458</v>
      </c>
      <c r="R48" s="165" t="n">
        <f aca="false">F48*Q48</f>
        <v>5866.76422607289</v>
      </c>
      <c r="S48" s="166" t="n">
        <f aca="false">ROUND(R48/$G$9,0)</f>
        <v>117</v>
      </c>
      <c r="T48" s="167" t="n">
        <f aca="false">INT(S48/60)+(MOD(S48,60)/100)</f>
        <v>1.57</v>
      </c>
      <c r="U48" s="48"/>
    </row>
    <row r="49" customFormat="false" ht="14.1" hidden="false" customHeight="true" outlineLevel="0" collapsed="false">
      <c r="B49" s="46"/>
      <c r="C49" s="50"/>
      <c r="D49" s="50"/>
      <c r="E49" s="57" t="s">
        <v>108</v>
      </c>
      <c r="F49" s="164" t="n">
        <v>0</v>
      </c>
      <c r="G49" s="121" t="n">
        <v>22.67</v>
      </c>
      <c r="H49" s="164" t="n">
        <v>20</v>
      </c>
      <c r="I49" s="164" t="n">
        <v>6.02</v>
      </c>
      <c r="J49" s="122" t="n">
        <f aca="false">SUM(G49,H49,I49)</f>
        <v>48.69</v>
      </c>
      <c r="K49" s="122" t="n">
        <f aca="false">5*H49</f>
        <v>100</v>
      </c>
      <c r="L49" s="122" t="n">
        <f aca="false">'Field capacity and SPT density'!$U$13</f>
        <v>1.69640983536219</v>
      </c>
      <c r="M49" s="122" t="n">
        <f aca="false">J49+K49*L49</f>
        <v>218.330983536219</v>
      </c>
      <c r="N49" s="122" t="n">
        <f aca="false">M49-H49-G49</f>
        <v>175.660983536219</v>
      </c>
      <c r="O49" s="122" t="n">
        <f aca="false">(N49/$G$8)</f>
        <v>109.788114710137</v>
      </c>
      <c r="P49" s="122" t="n">
        <f aca="false">H49/2.65</f>
        <v>7.54716981132076</v>
      </c>
      <c r="Q49" s="122" t="n">
        <f aca="false">O49+P49</f>
        <v>117.335284521458</v>
      </c>
      <c r="R49" s="165" t="n">
        <f aca="false">F49*Q49</f>
        <v>0</v>
      </c>
      <c r="S49" s="166" t="n">
        <f aca="false">ROUND(R49/$G$9,0)</f>
        <v>0</v>
      </c>
      <c r="T49" s="167" t="n">
        <f aca="false">INT(S49/60)+(MOD(S49,60)/100)</f>
        <v>0</v>
      </c>
      <c r="U49" s="48"/>
    </row>
    <row r="50" customFormat="false" ht="14.1" hidden="false" customHeight="true" outlineLevel="0" collapsed="false">
      <c r="B50" s="46"/>
      <c r="C50" s="50"/>
      <c r="D50" s="50"/>
      <c r="E50" s="57" t="s">
        <v>108</v>
      </c>
      <c r="F50" s="164" t="n">
        <v>50</v>
      </c>
      <c r="G50" s="121" t="n">
        <v>22.67</v>
      </c>
      <c r="H50" s="164" t="n">
        <v>20</v>
      </c>
      <c r="I50" s="164" t="n">
        <v>6.02</v>
      </c>
      <c r="J50" s="122" t="n">
        <f aca="false">SUM(G50,H50,I50)</f>
        <v>48.69</v>
      </c>
      <c r="K50" s="122" t="n">
        <f aca="false">5*H50</f>
        <v>100</v>
      </c>
      <c r="L50" s="122" t="n">
        <f aca="false">'Field capacity and SPT density'!$U$13</f>
        <v>1.69640983536219</v>
      </c>
      <c r="M50" s="122" t="n">
        <f aca="false">J50+K50*L50</f>
        <v>218.330983536219</v>
      </c>
      <c r="N50" s="122" t="n">
        <f aca="false">M50-H50-G50</f>
        <v>175.660983536219</v>
      </c>
      <c r="O50" s="122" t="n">
        <f aca="false">(N50/$G$8)</f>
        <v>109.788114710137</v>
      </c>
      <c r="P50" s="122" t="n">
        <f aca="false">H50/2.65</f>
        <v>7.54716981132076</v>
      </c>
      <c r="Q50" s="122" t="n">
        <f aca="false">O50+P50</f>
        <v>117.335284521458</v>
      </c>
      <c r="R50" s="165" t="n">
        <f aca="false">F50*Q50</f>
        <v>5866.76422607289</v>
      </c>
      <c r="S50" s="166" t="n">
        <f aca="false">ROUND(R50/$G$9,0)</f>
        <v>117</v>
      </c>
      <c r="T50" s="167" t="n">
        <f aca="false">INT(S50/60)+(MOD(S50,60)/100)</f>
        <v>1.57</v>
      </c>
      <c r="U50" s="48"/>
    </row>
    <row r="51" customFormat="false" ht="14.1" hidden="false" customHeight="true" outlineLevel="0" collapsed="false">
      <c r="B51" s="46"/>
      <c r="C51" s="50"/>
      <c r="D51" s="50"/>
      <c r="E51" s="57" t="s">
        <v>111</v>
      </c>
      <c r="F51" s="164" t="n">
        <v>0</v>
      </c>
      <c r="G51" s="121" t="n">
        <v>23.06</v>
      </c>
      <c r="H51" s="164" t="n">
        <v>20</v>
      </c>
      <c r="I51" s="164" t="n">
        <v>6.02</v>
      </c>
      <c r="J51" s="122" t="n">
        <f aca="false">SUM(G51,H51,I51)</f>
        <v>49.08</v>
      </c>
      <c r="K51" s="122" t="n">
        <f aca="false">5*H51</f>
        <v>100</v>
      </c>
      <c r="L51" s="122" t="n">
        <f aca="false">'Field capacity and SPT density'!$U$13</f>
        <v>1.69640983536219</v>
      </c>
      <c r="M51" s="122" t="n">
        <f aca="false">J51+K51*L51</f>
        <v>218.720983536219</v>
      </c>
      <c r="N51" s="122" t="n">
        <f aca="false">M51-H51-G51</f>
        <v>175.660983536219</v>
      </c>
      <c r="O51" s="122" t="n">
        <f aca="false">(N51/$G$8)</f>
        <v>109.788114710137</v>
      </c>
      <c r="P51" s="122" t="n">
        <f aca="false">H51/2.65</f>
        <v>7.54716981132076</v>
      </c>
      <c r="Q51" s="122" t="n">
        <f aca="false">O51+P51</f>
        <v>117.335284521458</v>
      </c>
      <c r="R51" s="165" t="n">
        <f aca="false">F51*Q51</f>
        <v>0</v>
      </c>
      <c r="S51" s="166" t="n">
        <f aca="false">ROUND(R51/$G$9,0)</f>
        <v>0</v>
      </c>
      <c r="T51" s="167" t="n">
        <f aca="false">INT(S51/60)+(MOD(S51,60)/100)</f>
        <v>0</v>
      </c>
      <c r="U51" s="48"/>
    </row>
    <row r="52" customFormat="false" ht="14.1" hidden="false" customHeight="true" outlineLevel="0" collapsed="false">
      <c r="B52" s="46"/>
      <c r="C52" s="50"/>
      <c r="D52" s="50"/>
      <c r="E52" s="57" t="s">
        <v>111</v>
      </c>
      <c r="F52" s="164" t="n">
        <v>50</v>
      </c>
      <c r="G52" s="121" t="n">
        <v>23.06</v>
      </c>
      <c r="H52" s="164" t="n">
        <v>20</v>
      </c>
      <c r="I52" s="164" t="n">
        <v>6.02</v>
      </c>
      <c r="J52" s="122" t="n">
        <f aca="false">SUM(G52,H52,I52)</f>
        <v>49.08</v>
      </c>
      <c r="K52" s="122" t="n">
        <f aca="false">5*H52</f>
        <v>100</v>
      </c>
      <c r="L52" s="122" t="n">
        <f aca="false">'Field capacity and SPT density'!$U$13</f>
        <v>1.69640983536219</v>
      </c>
      <c r="M52" s="122" t="n">
        <f aca="false">J52+K52*L52</f>
        <v>218.720983536219</v>
      </c>
      <c r="N52" s="122" t="n">
        <f aca="false">M52-H52-G52</f>
        <v>175.660983536219</v>
      </c>
      <c r="O52" s="122" t="n">
        <f aca="false">(N52/$G$8)</f>
        <v>109.788114710137</v>
      </c>
      <c r="P52" s="122" t="n">
        <f aca="false">H52/2.65</f>
        <v>7.54716981132076</v>
      </c>
      <c r="Q52" s="122" t="n">
        <f aca="false">O52+P52</f>
        <v>117.335284521458</v>
      </c>
      <c r="R52" s="165" t="n">
        <f aca="false">F52*Q52</f>
        <v>5866.76422607289</v>
      </c>
      <c r="S52" s="166" t="n">
        <f aca="false">ROUND(R52/$G$9,0)</f>
        <v>117</v>
      </c>
      <c r="T52" s="167" t="n">
        <f aca="false">INT(S52/60)+(MOD(S52,60)/100)</f>
        <v>1.57</v>
      </c>
      <c r="U52" s="48"/>
    </row>
    <row r="53" customFormat="false" ht="14.1" hidden="false" customHeight="true" outlineLevel="0" collapsed="false">
      <c r="B53" s="46"/>
      <c r="C53" s="50"/>
      <c r="D53" s="50"/>
      <c r="E53" s="57" t="s">
        <v>114</v>
      </c>
      <c r="F53" s="164" t="n">
        <v>0</v>
      </c>
      <c r="G53" s="121" t="n">
        <v>24.89</v>
      </c>
      <c r="H53" s="164" t="n">
        <v>20</v>
      </c>
      <c r="I53" s="164" t="n">
        <v>6.02</v>
      </c>
      <c r="J53" s="122" t="n">
        <f aca="false">SUM(G53,H53,I53)</f>
        <v>50.91</v>
      </c>
      <c r="K53" s="122" t="n">
        <f aca="false">5*H53</f>
        <v>100</v>
      </c>
      <c r="L53" s="122" t="n">
        <f aca="false">'Field capacity and SPT density'!$U$13</f>
        <v>1.69640983536219</v>
      </c>
      <c r="M53" s="122" t="n">
        <f aca="false">J53+K53*L53</f>
        <v>220.550983536219</v>
      </c>
      <c r="N53" s="122" t="n">
        <f aca="false">M53-H53-G53</f>
        <v>175.660983536219</v>
      </c>
      <c r="O53" s="122" t="n">
        <f aca="false">(N53/$G$8)</f>
        <v>109.788114710137</v>
      </c>
      <c r="P53" s="122" t="n">
        <f aca="false">H53/2.65</f>
        <v>7.54716981132076</v>
      </c>
      <c r="Q53" s="122" t="n">
        <f aca="false">O53+P53</f>
        <v>117.335284521458</v>
      </c>
      <c r="R53" s="165" t="n">
        <f aca="false">F53*Q53</f>
        <v>0</v>
      </c>
      <c r="S53" s="166" t="n">
        <f aca="false">ROUND(R53/$G$9,0)</f>
        <v>0</v>
      </c>
      <c r="T53" s="167" t="n">
        <f aca="false">INT(S53/60)+(MOD(S53,60)/100)</f>
        <v>0</v>
      </c>
      <c r="U53" s="48"/>
    </row>
    <row r="54" customFormat="false" ht="14.1" hidden="false" customHeight="true" outlineLevel="0" collapsed="false">
      <c r="B54" s="46"/>
      <c r="C54" s="99"/>
      <c r="D54" s="99"/>
      <c r="E54" s="185" t="s">
        <v>114</v>
      </c>
      <c r="F54" s="186" t="n">
        <v>50</v>
      </c>
      <c r="G54" s="187" t="n">
        <v>24.89</v>
      </c>
      <c r="H54" s="186" t="n">
        <v>20</v>
      </c>
      <c r="I54" s="186" t="n">
        <v>6.02</v>
      </c>
      <c r="J54" s="116" t="n">
        <f aca="false">SUM(G54,H54,I54)</f>
        <v>50.91</v>
      </c>
      <c r="K54" s="116" t="n">
        <f aca="false">5*H54</f>
        <v>100</v>
      </c>
      <c r="L54" s="116" t="n">
        <f aca="false">'Field capacity and SPT density'!$U$13</f>
        <v>1.69640983536219</v>
      </c>
      <c r="M54" s="116" t="n">
        <f aca="false">J54+K54*L54</f>
        <v>220.550983536219</v>
      </c>
      <c r="N54" s="116" t="n">
        <f aca="false">M54-H54-G54</f>
        <v>175.660983536219</v>
      </c>
      <c r="O54" s="116" t="n">
        <f aca="false">(N54/$G$8)</f>
        <v>109.788114710137</v>
      </c>
      <c r="P54" s="116" t="n">
        <f aca="false">H54/2.65</f>
        <v>7.54716981132076</v>
      </c>
      <c r="Q54" s="116" t="n">
        <f aca="false">O54+P54</f>
        <v>117.335284521458</v>
      </c>
      <c r="R54" s="188" t="n">
        <f aca="false">F54*Q54</f>
        <v>5866.76422607289</v>
      </c>
      <c r="S54" s="189" t="n">
        <f aca="false">ROUND(R54/$G$9,0)</f>
        <v>117</v>
      </c>
      <c r="T54" s="190" t="n">
        <f aca="false">INT(S54/60)+(MOD(S54,60)/100)</f>
        <v>1.57</v>
      </c>
      <c r="U54" s="48"/>
    </row>
    <row r="55" customFormat="false" ht="14.1" hidden="false" customHeight="true" outlineLevel="0" collapsed="false">
      <c r="B55" s="46"/>
      <c r="C55" s="96" t="s">
        <v>28</v>
      </c>
      <c r="D55" s="50" t="s">
        <v>158</v>
      </c>
      <c r="E55" s="57" t="s">
        <v>103</v>
      </c>
      <c r="F55" s="162" t="n">
        <v>0</v>
      </c>
      <c r="G55" s="121" t="n">
        <v>22.1</v>
      </c>
      <c r="H55" s="163" t="n">
        <v>20</v>
      </c>
      <c r="I55" s="164" t="n">
        <v>5.66</v>
      </c>
      <c r="J55" s="122" t="n">
        <f aca="false">SUM(G55,H55,I55)</f>
        <v>47.76</v>
      </c>
      <c r="K55" s="122" t="n">
        <f aca="false">5*H55</f>
        <v>100</v>
      </c>
      <c r="L55" s="122" t="n">
        <f aca="false">'Field capacity and SPT density'!$U$17</f>
        <v>1.6891986476771</v>
      </c>
      <c r="M55" s="122" t="n">
        <f aca="false">J55+K55*L55</f>
        <v>216.679864767711</v>
      </c>
      <c r="N55" s="122" t="n">
        <f aca="false">M55-H55-G55</f>
        <v>174.579864767711</v>
      </c>
      <c r="O55" s="122" t="n">
        <f aca="false">(N55/$G$8)</f>
        <v>109.112415479819</v>
      </c>
      <c r="P55" s="122" t="n">
        <f aca="false">H55/2.65</f>
        <v>7.54716981132076</v>
      </c>
      <c r="Q55" s="122" t="n">
        <f aca="false">O55+P55</f>
        <v>116.65958529114</v>
      </c>
      <c r="R55" s="165" t="n">
        <f aca="false">F55*Q55</f>
        <v>0</v>
      </c>
      <c r="S55" s="166" t="n">
        <f aca="false">ROUND(R55/$G$9,0)</f>
        <v>0</v>
      </c>
      <c r="T55" s="167" t="n">
        <f aca="false">INT(S55/60)+(MOD(S55,60)/100)</f>
        <v>0</v>
      </c>
      <c r="U55" s="48"/>
    </row>
    <row r="56" customFormat="false" ht="14.1" hidden="false" customHeight="true" outlineLevel="0" collapsed="false">
      <c r="B56" s="46"/>
      <c r="C56" s="50"/>
      <c r="D56" s="81"/>
      <c r="E56" s="57" t="s">
        <v>103</v>
      </c>
      <c r="F56" s="162" t="n">
        <v>50</v>
      </c>
      <c r="G56" s="121" t="n">
        <v>22.1</v>
      </c>
      <c r="H56" s="163" t="n">
        <v>20</v>
      </c>
      <c r="I56" s="164" t="n">
        <v>5.66</v>
      </c>
      <c r="J56" s="122" t="n">
        <f aca="false">SUM(G56,H56,I56)</f>
        <v>47.76</v>
      </c>
      <c r="K56" s="122" t="n">
        <f aca="false">5*H56</f>
        <v>100</v>
      </c>
      <c r="L56" s="122" t="n">
        <f aca="false">'Field capacity and SPT density'!$U$17</f>
        <v>1.6891986476771</v>
      </c>
      <c r="M56" s="122" t="n">
        <f aca="false">J56+K56*L56</f>
        <v>216.679864767711</v>
      </c>
      <c r="N56" s="122" t="n">
        <f aca="false">M56-H56-G56</f>
        <v>174.579864767711</v>
      </c>
      <c r="O56" s="122" t="n">
        <f aca="false">(N56/$G$8)</f>
        <v>109.112415479819</v>
      </c>
      <c r="P56" s="122" t="n">
        <f aca="false">H56/2.65</f>
        <v>7.54716981132076</v>
      </c>
      <c r="Q56" s="122" t="n">
        <f aca="false">O56+P56</f>
        <v>116.65958529114</v>
      </c>
      <c r="R56" s="165" t="n">
        <f aca="false">F56*Q56</f>
        <v>5832.97926455699</v>
      </c>
      <c r="S56" s="166" t="n">
        <f aca="false">ROUND(R56/$G$9,0)</f>
        <v>117</v>
      </c>
      <c r="T56" s="167" t="n">
        <f aca="false">INT(S56/60)+(MOD(S56,60)/100)</f>
        <v>1.57</v>
      </c>
      <c r="U56" s="48"/>
    </row>
    <row r="57" customFormat="false" ht="14.1" hidden="false" customHeight="true" outlineLevel="0" collapsed="false">
      <c r="B57" s="46"/>
      <c r="C57" s="50"/>
      <c r="D57" s="50"/>
      <c r="E57" s="57" t="s">
        <v>105</v>
      </c>
      <c r="F57" s="164" t="n">
        <v>0</v>
      </c>
      <c r="G57" s="121" t="n">
        <v>22.78</v>
      </c>
      <c r="H57" s="163" t="n">
        <v>20</v>
      </c>
      <c r="I57" s="164" t="n">
        <v>5.66</v>
      </c>
      <c r="J57" s="122" t="n">
        <f aca="false">SUM(G57,H57,I57)</f>
        <v>48.44</v>
      </c>
      <c r="K57" s="122" t="n">
        <f aca="false">5*H57</f>
        <v>100</v>
      </c>
      <c r="L57" s="122" t="n">
        <f aca="false">'Field capacity and SPT density'!$U$17</f>
        <v>1.6891986476771</v>
      </c>
      <c r="M57" s="122" t="n">
        <f aca="false">J57+K57*L57</f>
        <v>217.35986476771</v>
      </c>
      <c r="N57" s="122" t="n">
        <f aca="false">M57-H57-G57</f>
        <v>174.57986476771</v>
      </c>
      <c r="O57" s="122" t="n">
        <f aca="false">(N57/$G$8)</f>
        <v>109.112415479819</v>
      </c>
      <c r="P57" s="122" t="n">
        <f aca="false">H57/2.65</f>
        <v>7.54716981132076</v>
      </c>
      <c r="Q57" s="122" t="n">
        <f aca="false">O57+P57</f>
        <v>116.65958529114</v>
      </c>
      <c r="R57" s="165" t="n">
        <f aca="false">F57*Q57</f>
        <v>0</v>
      </c>
      <c r="S57" s="166" t="n">
        <f aca="false">ROUND(R57/$G$9,0)</f>
        <v>0</v>
      </c>
      <c r="T57" s="167" t="n">
        <f aca="false">INT(S57/60)+(MOD(S57,60)/100)</f>
        <v>0</v>
      </c>
      <c r="U57" s="48"/>
    </row>
    <row r="58" customFormat="false" ht="14.1" hidden="false" customHeight="true" outlineLevel="0" collapsed="false">
      <c r="B58" s="46"/>
      <c r="C58" s="50"/>
      <c r="D58" s="50"/>
      <c r="E58" s="57" t="s">
        <v>105</v>
      </c>
      <c r="F58" s="164" t="n">
        <v>50</v>
      </c>
      <c r="G58" s="121" t="n">
        <v>22.78</v>
      </c>
      <c r="H58" s="164" t="n">
        <v>20</v>
      </c>
      <c r="I58" s="164" t="n">
        <v>5.66</v>
      </c>
      <c r="J58" s="122" t="n">
        <f aca="false">SUM(G58,H58,I58)</f>
        <v>48.44</v>
      </c>
      <c r="K58" s="122" t="n">
        <f aca="false">5*H58</f>
        <v>100</v>
      </c>
      <c r="L58" s="122" t="n">
        <f aca="false">'Field capacity and SPT density'!$U$17</f>
        <v>1.6891986476771</v>
      </c>
      <c r="M58" s="122" t="n">
        <f aca="false">J58+K58*L58</f>
        <v>217.35986476771</v>
      </c>
      <c r="N58" s="122" t="n">
        <f aca="false">M58-H58-G58</f>
        <v>174.57986476771</v>
      </c>
      <c r="O58" s="122" t="n">
        <f aca="false">(N58/$G$8)</f>
        <v>109.112415479819</v>
      </c>
      <c r="P58" s="122" t="n">
        <f aca="false">H58/2.65</f>
        <v>7.54716981132076</v>
      </c>
      <c r="Q58" s="122" t="n">
        <f aca="false">O58+P58</f>
        <v>116.65958529114</v>
      </c>
      <c r="R58" s="165" t="n">
        <f aca="false">F58*Q58</f>
        <v>5832.97926455699</v>
      </c>
      <c r="S58" s="166" t="n">
        <f aca="false">ROUND(R58/$G$9,0)</f>
        <v>117</v>
      </c>
      <c r="T58" s="167" t="n">
        <f aca="false">INT(S58/60)+(MOD(S58,60)/100)</f>
        <v>1.57</v>
      </c>
      <c r="U58" s="48"/>
    </row>
    <row r="59" customFormat="false" ht="14.1" hidden="false" customHeight="true" outlineLevel="0" collapsed="false">
      <c r="B59" s="46"/>
      <c r="C59" s="50"/>
      <c r="D59" s="50"/>
      <c r="E59" s="57" t="s">
        <v>108</v>
      </c>
      <c r="F59" s="164" t="n">
        <v>0</v>
      </c>
      <c r="G59" s="121" t="n">
        <v>22.76</v>
      </c>
      <c r="H59" s="164" t="n">
        <v>20</v>
      </c>
      <c r="I59" s="164" t="n">
        <v>5.66</v>
      </c>
      <c r="J59" s="122" t="n">
        <f aca="false">SUM(G59,H59,I59)</f>
        <v>48.42</v>
      </c>
      <c r="K59" s="122" t="n">
        <f aca="false">5*H59</f>
        <v>100</v>
      </c>
      <c r="L59" s="122" t="n">
        <f aca="false">'Field capacity and SPT density'!$U$17</f>
        <v>1.6891986476771</v>
      </c>
      <c r="M59" s="122" t="n">
        <f aca="false">J59+K59*L59</f>
        <v>217.33986476771</v>
      </c>
      <c r="N59" s="122" t="n">
        <f aca="false">M59-H59-G59</f>
        <v>174.57986476771</v>
      </c>
      <c r="O59" s="122" t="n">
        <f aca="false">(N59/$G$8)</f>
        <v>109.112415479819</v>
      </c>
      <c r="P59" s="122" t="n">
        <f aca="false">H59/2.65</f>
        <v>7.54716981132076</v>
      </c>
      <c r="Q59" s="122" t="n">
        <f aca="false">O59+P59</f>
        <v>116.65958529114</v>
      </c>
      <c r="R59" s="165" t="n">
        <f aca="false">F59*Q59</f>
        <v>0</v>
      </c>
      <c r="S59" s="166" t="n">
        <f aca="false">ROUND(R59/$G$9,0)</f>
        <v>0</v>
      </c>
      <c r="T59" s="167" t="n">
        <f aca="false">INT(S59/60)+(MOD(S59,60)/100)</f>
        <v>0</v>
      </c>
      <c r="U59" s="48"/>
    </row>
    <row r="60" customFormat="false" ht="14.1" hidden="false" customHeight="true" outlineLevel="0" collapsed="false">
      <c r="B60" s="46"/>
      <c r="C60" s="50"/>
      <c r="D60" s="50"/>
      <c r="E60" s="57" t="s">
        <v>108</v>
      </c>
      <c r="F60" s="164" t="n">
        <v>50</v>
      </c>
      <c r="G60" s="121" t="n">
        <v>22.76</v>
      </c>
      <c r="H60" s="164" t="n">
        <v>20</v>
      </c>
      <c r="I60" s="164" t="n">
        <v>5.66</v>
      </c>
      <c r="J60" s="122" t="n">
        <f aca="false">SUM(G60,H60,I60)</f>
        <v>48.42</v>
      </c>
      <c r="K60" s="122" t="n">
        <f aca="false">5*H60</f>
        <v>100</v>
      </c>
      <c r="L60" s="122" t="n">
        <f aca="false">'Field capacity and SPT density'!$U$17</f>
        <v>1.6891986476771</v>
      </c>
      <c r="M60" s="122" t="n">
        <f aca="false">J60+K60*L60</f>
        <v>217.33986476771</v>
      </c>
      <c r="N60" s="122" t="n">
        <f aca="false">M60-H60-G60</f>
        <v>174.57986476771</v>
      </c>
      <c r="O60" s="122" t="n">
        <f aca="false">(N60/$G$8)</f>
        <v>109.112415479819</v>
      </c>
      <c r="P60" s="122" t="n">
        <f aca="false">H60/2.65</f>
        <v>7.54716981132076</v>
      </c>
      <c r="Q60" s="122" t="n">
        <f aca="false">O60+P60</f>
        <v>116.65958529114</v>
      </c>
      <c r="R60" s="165" t="n">
        <f aca="false">F60*Q60</f>
        <v>5832.97926455699</v>
      </c>
      <c r="S60" s="166" t="n">
        <f aca="false">ROUND(R60/$G$9,0)</f>
        <v>117</v>
      </c>
      <c r="T60" s="167" t="n">
        <f aca="false">INT(S60/60)+(MOD(S60,60)/100)</f>
        <v>1.57</v>
      </c>
      <c r="U60" s="48"/>
    </row>
    <row r="61" customFormat="false" ht="14.1" hidden="false" customHeight="true" outlineLevel="0" collapsed="false">
      <c r="B61" s="46"/>
      <c r="C61" s="50"/>
      <c r="D61" s="50"/>
      <c r="E61" s="57" t="s">
        <v>111</v>
      </c>
      <c r="F61" s="164" t="n">
        <v>0</v>
      </c>
      <c r="G61" s="121" t="n">
        <v>24.78</v>
      </c>
      <c r="H61" s="164" t="n">
        <v>20</v>
      </c>
      <c r="I61" s="164" t="n">
        <v>5.66</v>
      </c>
      <c r="J61" s="122" t="n">
        <f aca="false">SUM(G61,H61,I61)</f>
        <v>50.44</v>
      </c>
      <c r="K61" s="122" t="n">
        <f aca="false">5*H61</f>
        <v>100</v>
      </c>
      <c r="L61" s="122" t="n">
        <f aca="false">'Field capacity and SPT density'!$U$17</f>
        <v>1.6891986476771</v>
      </c>
      <c r="M61" s="122" t="n">
        <f aca="false">J61+K61*L61</f>
        <v>219.35986476771</v>
      </c>
      <c r="N61" s="122" t="n">
        <f aca="false">M61-H61-G61</f>
        <v>174.57986476771</v>
      </c>
      <c r="O61" s="122" t="n">
        <f aca="false">(N61/$G$8)</f>
        <v>109.112415479819</v>
      </c>
      <c r="P61" s="122" t="n">
        <f aca="false">H61/2.65</f>
        <v>7.54716981132076</v>
      </c>
      <c r="Q61" s="122" t="n">
        <f aca="false">O61+P61</f>
        <v>116.65958529114</v>
      </c>
      <c r="R61" s="165" t="n">
        <f aca="false">F61*Q61</f>
        <v>0</v>
      </c>
      <c r="S61" s="166" t="n">
        <f aca="false">ROUND(R61/$G$9,0)</f>
        <v>0</v>
      </c>
      <c r="T61" s="167" t="n">
        <f aca="false">INT(S61/60)+(MOD(S61,60)/100)</f>
        <v>0</v>
      </c>
      <c r="U61" s="48"/>
    </row>
    <row r="62" customFormat="false" ht="14.1" hidden="false" customHeight="true" outlineLevel="0" collapsed="false">
      <c r="B62" s="46"/>
      <c r="C62" s="50"/>
      <c r="D62" s="50"/>
      <c r="E62" s="57" t="s">
        <v>111</v>
      </c>
      <c r="F62" s="164" t="n">
        <v>50</v>
      </c>
      <c r="G62" s="121" t="n">
        <v>24.78</v>
      </c>
      <c r="H62" s="164" t="n">
        <v>20</v>
      </c>
      <c r="I62" s="164" t="n">
        <v>5.66</v>
      </c>
      <c r="J62" s="122" t="n">
        <f aca="false">SUM(G62,H62,I62)</f>
        <v>50.44</v>
      </c>
      <c r="K62" s="122" t="n">
        <f aca="false">5*H62</f>
        <v>100</v>
      </c>
      <c r="L62" s="122" t="n">
        <f aca="false">'Field capacity and SPT density'!$U$17</f>
        <v>1.6891986476771</v>
      </c>
      <c r="M62" s="122" t="n">
        <f aca="false">J62+K62*L62</f>
        <v>219.35986476771</v>
      </c>
      <c r="N62" s="122" t="n">
        <f aca="false">M62-H62-G62</f>
        <v>174.57986476771</v>
      </c>
      <c r="O62" s="122" t="n">
        <f aca="false">(N62/$G$8)</f>
        <v>109.112415479819</v>
      </c>
      <c r="P62" s="122" t="n">
        <f aca="false">H62/2.65</f>
        <v>7.54716981132076</v>
      </c>
      <c r="Q62" s="122" t="n">
        <f aca="false">O62+P62</f>
        <v>116.65958529114</v>
      </c>
      <c r="R62" s="165" t="n">
        <f aca="false">F62*Q62</f>
        <v>5832.97926455699</v>
      </c>
      <c r="S62" s="166" t="n">
        <f aca="false">ROUND(R62/$G$9,0)</f>
        <v>117</v>
      </c>
      <c r="T62" s="167" t="n">
        <f aca="false">INT(S62/60)+(MOD(S62,60)/100)</f>
        <v>1.57</v>
      </c>
      <c r="U62" s="48"/>
    </row>
    <row r="63" customFormat="false" ht="14.1" hidden="false" customHeight="true" outlineLevel="0" collapsed="false">
      <c r="B63" s="46"/>
      <c r="C63" s="50"/>
      <c r="D63" s="50"/>
      <c r="E63" s="57" t="s">
        <v>114</v>
      </c>
      <c r="F63" s="164" t="n">
        <v>0</v>
      </c>
      <c r="G63" s="121" t="n">
        <v>24.04</v>
      </c>
      <c r="H63" s="164" t="n">
        <v>20</v>
      </c>
      <c r="I63" s="164" t="n">
        <v>5.66</v>
      </c>
      <c r="J63" s="122" t="n">
        <f aca="false">SUM(G63,H63,I63)</f>
        <v>49.7</v>
      </c>
      <c r="K63" s="122" t="n">
        <f aca="false">5*H63</f>
        <v>100</v>
      </c>
      <c r="L63" s="122" t="n">
        <f aca="false">'Field capacity and SPT density'!$U$17</f>
        <v>1.6891986476771</v>
      </c>
      <c r="M63" s="122" t="n">
        <f aca="false">J63+K63*L63</f>
        <v>218.61986476771</v>
      </c>
      <c r="N63" s="122" t="n">
        <f aca="false">M63-H63-G63</f>
        <v>174.579864767711</v>
      </c>
      <c r="O63" s="122" t="n">
        <f aca="false">(N63/$G$8)</f>
        <v>109.112415479819</v>
      </c>
      <c r="P63" s="122" t="n">
        <f aca="false">H63/2.65</f>
        <v>7.54716981132076</v>
      </c>
      <c r="Q63" s="122" t="n">
        <f aca="false">O63+P63</f>
        <v>116.65958529114</v>
      </c>
      <c r="R63" s="165" t="n">
        <f aca="false">F63*Q63</f>
        <v>0</v>
      </c>
      <c r="S63" s="166" t="n">
        <f aca="false">ROUND(R63/$G$9,0)</f>
        <v>0</v>
      </c>
      <c r="T63" s="167" t="n">
        <f aca="false">INT(S63/60)+(MOD(S63,60)/100)</f>
        <v>0</v>
      </c>
      <c r="U63" s="48"/>
    </row>
    <row r="64" customFormat="false" ht="14.1" hidden="false" customHeight="true" outlineLevel="0" collapsed="false">
      <c r="B64" s="46"/>
      <c r="C64" s="50"/>
      <c r="D64" s="168"/>
      <c r="E64" s="169" t="s">
        <v>114</v>
      </c>
      <c r="F64" s="170" t="n">
        <v>50</v>
      </c>
      <c r="G64" s="171" t="n">
        <v>24.04</v>
      </c>
      <c r="H64" s="170" t="n">
        <v>20</v>
      </c>
      <c r="I64" s="170" t="n">
        <v>5.66</v>
      </c>
      <c r="J64" s="172" t="n">
        <f aca="false">SUM(G64,H64,I64)</f>
        <v>49.7</v>
      </c>
      <c r="K64" s="172" t="n">
        <f aca="false">5*H64</f>
        <v>100</v>
      </c>
      <c r="L64" s="172" t="n">
        <f aca="false">'Field capacity and SPT density'!$U$17</f>
        <v>1.6891986476771</v>
      </c>
      <c r="M64" s="172" t="n">
        <f aca="false">J64+K64*L64</f>
        <v>218.61986476771</v>
      </c>
      <c r="N64" s="172" t="n">
        <f aca="false">M64-H64-G64</f>
        <v>174.579864767711</v>
      </c>
      <c r="O64" s="172" t="n">
        <f aca="false">(N64/$G$8)</f>
        <v>109.112415479819</v>
      </c>
      <c r="P64" s="172" t="n">
        <f aca="false">H64/2.65</f>
        <v>7.54716981132076</v>
      </c>
      <c r="Q64" s="172" t="n">
        <f aca="false">O64+P64</f>
        <v>116.65958529114</v>
      </c>
      <c r="R64" s="173" t="n">
        <f aca="false">F64*Q64</f>
        <v>5832.97926455699</v>
      </c>
      <c r="S64" s="174" t="n">
        <f aca="false">ROUND(R64/$G$9,0)</f>
        <v>117</v>
      </c>
      <c r="T64" s="175" t="n">
        <f aca="false">INT(S64/60)+(MOD(S64,60)/100)</f>
        <v>1.57</v>
      </c>
      <c r="U64" s="48"/>
    </row>
    <row r="65" customFormat="false" ht="14.1" hidden="false" customHeight="true" outlineLevel="0" collapsed="false">
      <c r="B65" s="46"/>
      <c r="C65" s="50"/>
      <c r="D65" s="176" t="s">
        <v>159</v>
      </c>
      <c r="E65" s="177" t="s">
        <v>103</v>
      </c>
      <c r="F65" s="178" t="n">
        <v>0</v>
      </c>
      <c r="G65" s="179" t="n">
        <v>22.89</v>
      </c>
      <c r="H65" s="178" t="n">
        <v>20</v>
      </c>
      <c r="I65" s="180" t="n">
        <v>5.57</v>
      </c>
      <c r="J65" s="181" t="n">
        <f aca="false">SUM(G65,H65,I65)</f>
        <v>48.46</v>
      </c>
      <c r="K65" s="181" t="n">
        <f aca="false">5*H65</f>
        <v>100</v>
      </c>
      <c r="L65" s="181" t="n">
        <f aca="false">'Field capacity and SPT density'!$U$17</f>
        <v>1.6891986476771</v>
      </c>
      <c r="M65" s="181" t="n">
        <f aca="false">J65+K65*L65</f>
        <v>217.37986476771</v>
      </c>
      <c r="N65" s="181" t="n">
        <f aca="false">M65-H65-G65</f>
        <v>174.489864767711</v>
      </c>
      <c r="O65" s="181" t="n">
        <f aca="false">(N65/$G$8)</f>
        <v>109.056165479819</v>
      </c>
      <c r="P65" s="181" t="n">
        <f aca="false">H65/2.65</f>
        <v>7.54716981132076</v>
      </c>
      <c r="Q65" s="181" t="n">
        <f aca="false">O65+P65</f>
        <v>116.60333529114</v>
      </c>
      <c r="R65" s="182" t="n">
        <f aca="false">F65*Q65</f>
        <v>0</v>
      </c>
      <c r="S65" s="183" t="n">
        <f aca="false">ROUND(R65/$G$9,0)</f>
        <v>0</v>
      </c>
      <c r="T65" s="184" t="n">
        <f aca="false">INT(S65/60)+(MOD(S65,60)/100)</f>
        <v>0</v>
      </c>
      <c r="U65" s="48"/>
    </row>
    <row r="66" customFormat="false" ht="14.1" hidden="false" customHeight="true" outlineLevel="0" collapsed="false">
      <c r="B66" s="46"/>
      <c r="C66" s="50"/>
      <c r="D66" s="50"/>
      <c r="E66" s="57" t="s">
        <v>103</v>
      </c>
      <c r="F66" s="163" t="n">
        <v>50</v>
      </c>
      <c r="G66" s="121" t="n">
        <v>22.89</v>
      </c>
      <c r="H66" s="163" t="n">
        <v>20</v>
      </c>
      <c r="I66" s="164" t="n">
        <v>5.57</v>
      </c>
      <c r="J66" s="122" t="n">
        <f aca="false">SUM(G66,H66,I66)</f>
        <v>48.46</v>
      </c>
      <c r="K66" s="122" t="n">
        <f aca="false">5*H66</f>
        <v>100</v>
      </c>
      <c r="L66" s="122" t="n">
        <f aca="false">'Field capacity and SPT density'!$U$17</f>
        <v>1.6891986476771</v>
      </c>
      <c r="M66" s="122" t="n">
        <f aca="false">J66+K66*L66</f>
        <v>217.37986476771</v>
      </c>
      <c r="N66" s="122" t="n">
        <f aca="false">M66-H66-G66</f>
        <v>174.489864767711</v>
      </c>
      <c r="O66" s="122" t="n">
        <f aca="false">(N66/$G$8)</f>
        <v>109.056165479819</v>
      </c>
      <c r="P66" s="122" t="n">
        <f aca="false">H66/2.65</f>
        <v>7.54716981132076</v>
      </c>
      <c r="Q66" s="122" t="n">
        <f aca="false">O66+P66</f>
        <v>116.60333529114</v>
      </c>
      <c r="R66" s="165" t="n">
        <f aca="false">F66*Q66</f>
        <v>5830.16676455699</v>
      </c>
      <c r="S66" s="166" t="n">
        <f aca="false">ROUND(R66/$G$9,0)</f>
        <v>117</v>
      </c>
      <c r="T66" s="167" t="n">
        <f aca="false">INT(S66/60)+(MOD(S66,60)/100)</f>
        <v>1.57</v>
      </c>
      <c r="U66" s="48"/>
    </row>
    <row r="67" customFormat="false" ht="14.1" hidden="false" customHeight="true" outlineLevel="0" collapsed="false">
      <c r="B67" s="46"/>
      <c r="C67" s="50"/>
      <c r="D67" s="50"/>
      <c r="E67" s="57" t="s">
        <v>105</v>
      </c>
      <c r="F67" s="163" t="n">
        <v>0</v>
      </c>
      <c r="G67" s="121" t="n">
        <v>24.71</v>
      </c>
      <c r="H67" s="163" t="n">
        <v>20</v>
      </c>
      <c r="I67" s="164" t="n">
        <v>5.57</v>
      </c>
      <c r="J67" s="122" t="n">
        <f aca="false">SUM(G67,H67,I67)</f>
        <v>50.28</v>
      </c>
      <c r="K67" s="122" t="n">
        <f aca="false">5*H67</f>
        <v>100</v>
      </c>
      <c r="L67" s="122" t="n">
        <f aca="false">'Field capacity and SPT density'!$U$17</f>
        <v>1.6891986476771</v>
      </c>
      <c r="M67" s="122" t="n">
        <f aca="false">J67+K67*L67</f>
        <v>219.19986476771</v>
      </c>
      <c r="N67" s="122" t="n">
        <f aca="false">M67-H67-G67</f>
        <v>174.489864767711</v>
      </c>
      <c r="O67" s="122" t="n">
        <f aca="false">(N67/$G$8)</f>
        <v>109.056165479819</v>
      </c>
      <c r="P67" s="122" t="n">
        <f aca="false">H67/2.65</f>
        <v>7.54716981132076</v>
      </c>
      <c r="Q67" s="122" t="n">
        <f aca="false">O67+P67</f>
        <v>116.60333529114</v>
      </c>
      <c r="R67" s="165" t="n">
        <f aca="false">F67*Q67</f>
        <v>0</v>
      </c>
      <c r="S67" s="166" t="n">
        <f aca="false">ROUND(R67/$G$9,0)</f>
        <v>0</v>
      </c>
      <c r="T67" s="167" t="n">
        <f aca="false">INT(S67/60)+(MOD(S67,60)/100)</f>
        <v>0</v>
      </c>
      <c r="U67" s="48"/>
    </row>
    <row r="68" customFormat="false" ht="14.1" hidden="false" customHeight="true" outlineLevel="0" collapsed="false">
      <c r="B68" s="46"/>
      <c r="C68" s="50"/>
      <c r="D68" s="50"/>
      <c r="E68" s="57" t="s">
        <v>105</v>
      </c>
      <c r="F68" s="164" t="n">
        <v>50</v>
      </c>
      <c r="G68" s="121" t="n">
        <v>24.71</v>
      </c>
      <c r="H68" s="164" t="n">
        <v>20</v>
      </c>
      <c r="I68" s="164" t="n">
        <v>5.57</v>
      </c>
      <c r="J68" s="122" t="n">
        <f aca="false">SUM(G68,H68,I68)</f>
        <v>50.28</v>
      </c>
      <c r="K68" s="122" t="n">
        <f aca="false">5*H68</f>
        <v>100</v>
      </c>
      <c r="L68" s="122" t="n">
        <f aca="false">'Field capacity and SPT density'!$U$17</f>
        <v>1.6891986476771</v>
      </c>
      <c r="M68" s="122" t="n">
        <f aca="false">J68+K68*L68</f>
        <v>219.19986476771</v>
      </c>
      <c r="N68" s="122" t="n">
        <f aca="false">M68-H68-G68</f>
        <v>174.489864767711</v>
      </c>
      <c r="O68" s="122" t="n">
        <f aca="false">(N68/$G$8)</f>
        <v>109.056165479819</v>
      </c>
      <c r="P68" s="122" t="n">
        <f aca="false">H68/2.65</f>
        <v>7.54716981132076</v>
      </c>
      <c r="Q68" s="122" t="n">
        <f aca="false">O68+P68</f>
        <v>116.60333529114</v>
      </c>
      <c r="R68" s="165" t="n">
        <f aca="false">F68*Q68</f>
        <v>5830.16676455699</v>
      </c>
      <c r="S68" s="166" t="n">
        <f aca="false">ROUND(R68/$G$9,0)</f>
        <v>117</v>
      </c>
      <c r="T68" s="167" t="n">
        <f aca="false">INT(S68/60)+(MOD(S68,60)/100)</f>
        <v>1.57</v>
      </c>
      <c r="U68" s="48"/>
    </row>
    <row r="69" customFormat="false" ht="14.1" hidden="false" customHeight="true" outlineLevel="0" collapsed="false">
      <c r="B69" s="46"/>
      <c r="C69" s="50"/>
      <c r="D69" s="50"/>
      <c r="E69" s="57" t="s">
        <v>108</v>
      </c>
      <c r="F69" s="164" t="n">
        <v>0</v>
      </c>
      <c r="G69" s="121" t="n">
        <v>25.03</v>
      </c>
      <c r="H69" s="164" t="n">
        <v>20</v>
      </c>
      <c r="I69" s="164" t="n">
        <v>5.57</v>
      </c>
      <c r="J69" s="122" t="n">
        <f aca="false">SUM(G69,H69,I69)</f>
        <v>50.6</v>
      </c>
      <c r="K69" s="122" t="n">
        <f aca="false">5*H69</f>
        <v>100</v>
      </c>
      <c r="L69" s="122" t="n">
        <f aca="false">'Field capacity and SPT density'!$U$17</f>
        <v>1.6891986476771</v>
      </c>
      <c r="M69" s="122" t="n">
        <f aca="false">J69+K69*L69</f>
        <v>219.51986476771</v>
      </c>
      <c r="N69" s="122" t="n">
        <f aca="false">M69-H69-G69</f>
        <v>174.489864767711</v>
      </c>
      <c r="O69" s="122" t="n">
        <f aca="false">(N69/$G$8)</f>
        <v>109.056165479819</v>
      </c>
      <c r="P69" s="122" t="n">
        <f aca="false">H69/2.65</f>
        <v>7.54716981132076</v>
      </c>
      <c r="Q69" s="122" t="n">
        <f aca="false">O69+P69</f>
        <v>116.60333529114</v>
      </c>
      <c r="R69" s="165" t="n">
        <f aca="false">F69*Q69</f>
        <v>0</v>
      </c>
      <c r="S69" s="166" t="n">
        <f aca="false">ROUND(R69/$G$9,0)</f>
        <v>0</v>
      </c>
      <c r="T69" s="167" t="n">
        <f aca="false">INT(S69/60)+(MOD(S69,60)/100)</f>
        <v>0</v>
      </c>
      <c r="U69" s="48"/>
    </row>
    <row r="70" customFormat="false" ht="14.1" hidden="false" customHeight="true" outlineLevel="0" collapsed="false">
      <c r="B70" s="46"/>
      <c r="C70" s="50"/>
      <c r="D70" s="50"/>
      <c r="E70" s="57" t="s">
        <v>108</v>
      </c>
      <c r="F70" s="164" t="n">
        <v>50</v>
      </c>
      <c r="G70" s="121" t="n">
        <v>25.03</v>
      </c>
      <c r="H70" s="164" t="n">
        <v>20</v>
      </c>
      <c r="I70" s="164" t="n">
        <v>5.57</v>
      </c>
      <c r="J70" s="122" t="n">
        <f aca="false">SUM(G70,H70,I70)</f>
        <v>50.6</v>
      </c>
      <c r="K70" s="122" t="n">
        <f aca="false">5*H70</f>
        <v>100</v>
      </c>
      <c r="L70" s="122" t="n">
        <f aca="false">'Field capacity and SPT density'!$U$17</f>
        <v>1.6891986476771</v>
      </c>
      <c r="M70" s="122" t="n">
        <f aca="false">J70+K70*L70</f>
        <v>219.51986476771</v>
      </c>
      <c r="N70" s="122" t="n">
        <f aca="false">M70-H70-G70</f>
        <v>174.489864767711</v>
      </c>
      <c r="O70" s="122" t="n">
        <f aca="false">(N70/$G$8)</f>
        <v>109.056165479819</v>
      </c>
      <c r="P70" s="122" t="n">
        <f aca="false">H70/2.65</f>
        <v>7.54716981132076</v>
      </c>
      <c r="Q70" s="122" t="n">
        <f aca="false">O70+P70</f>
        <v>116.60333529114</v>
      </c>
      <c r="R70" s="165" t="n">
        <f aca="false">F70*Q70</f>
        <v>5830.16676455699</v>
      </c>
      <c r="S70" s="166" t="n">
        <f aca="false">ROUND(R70/$G$9,0)</f>
        <v>117</v>
      </c>
      <c r="T70" s="167" t="n">
        <f aca="false">INT(S70/60)+(MOD(S70,60)/100)</f>
        <v>1.57</v>
      </c>
      <c r="U70" s="48"/>
    </row>
    <row r="71" customFormat="false" ht="14.1" hidden="false" customHeight="true" outlineLevel="0" collapsed="false">
      <c r="B71" s="46"/>
      <c r="C71" s="50"/>
      <c r="D71" s="50"/>
      <c r="E71" s="57" t="s">
        <v>111</v>
      </c>
      <c r="F71" s="164" t="n">
        <v>0</v>
      </c>
      <c r="G71" s="121" t="n">
        <v>22.82</v>
      </c>
      <c r="H71" s="164" t="n">
        <v>20</v>
      </c>
      <c r="I71" s="164" t="n">
        <v>5.57</v>
      </c>
      <c r="J71" s="122" t="n">
        <f aca="false">SUM(G71,H71,I71)</f>
        <v>48.39</v>
      </c>
      <c r="K71" s="122" t="n">
        <f aca="false">5*H71</f>
        <v>100</v>
      </c>
      <c r="L71" s="122" t="n">
        <f aca="false">'Field capacity and SPT density'!$U$17</f>
        <v>1.6891986476771</v>
      </c>
      <c r="M71" s="122" t="n">
        <f aca="false">J71+K71*L71</f>
        <v>217.309864767711</v>
      </c>
      <c r="N71" s="122" t="n">
        <f aca="false">M71-H71-G71</f>
        <v>174.489864767711</v>
      </c>
      <c r="O71" s="122" t="n">
        <f aca="false">(N71/$G$8)</f>
        <v>109.056165479819</v>
      </c>
      <c r="P71" s="122" t="n">
        <f aca="false">H71/2.65</f>
        <v>7.54716981132076</v>
      </c>
      <c r="Q71" s="122" t="n">
        <f aca="false">O71+P71</f>
        <v>116.60333529114</v>
      </c>
      <c r="R71" s="165" t="n">
        <f aca="false">F71*Q71</f>
        <v>0</v>
      </c>
      <c r="S71" s="166" t="n">
        <f aca="false">ROUND(R71/$G$9,0)</f>
        <v>0</v>
      </c>
      <c r="T71" s="167" t="n">
        <f aca="false">INT(S71/60)+(MOD(S71,60)/100)</f>
        <v>0</v>
      </c>
      <c r="U71" s="48"/>
    </row>
    <row r="72" customFormat="false" ht="14.1" hidden="false" customHeight="true" outlineLevel="0" collapsed="false">
      <c r="B72" s="46"/>
      <c r="C72" s="50"/>
      <c r="D72" s="50"/>
      <c r="E72" s="57" t="s">
        <v>111</v>
      </c>
      <c r="F72" s="164" t="n">
        <v>50</v>
      </c>
      <c r="G72" s="121" t="n">
        <v>22.82</v>
      </c>
      <c r="H72" s="164" t="n">
        <v>20</v>
      </c>
      <c r="I72" s="164" t="n">
        <v>5.57</v>
      </c>
      <c r="J72" s="122" t="n">
        <f aca="false">SUM(G72,H72,I72)</f>
        <v>48.39</v>
      </c>
      <c r="K72" s="122" t="n">
        <f aca="false">5*H72</f>
        <v>100</v>
      </c>
      <c r="L72" s="122" t="n">
        <f aca="false">'Field capacity and SPT density'!$U$17</f>
        <v>1.6891986476771</v>
      </c>
      <c r="M72" s="122" t="n">
        <f aca="false">J72+K72*L72</f>
        <v>217.309864767711</v>
      </c>
      <c r="N72" s="122" t="n">
        <f aca="false">M72-H72-G72</f>
        <v>174.489864767711</v>
      </c>
      <c r="O72" s="122" t="n">
        <f aca="false">(N72/$G$8)</f>
        <v>109.056165479819</v>
      </c>
      <c r="P72" s="122" t="n">
        <f aca="false">H72/2.65</f>
        <v>7.54716981132076</v>
      </c>
      <c r="Q72" s="122" t="n">
        <f aca="false">O72+P72</f>
        <v>116.60333529114</v>
      </c>
      <c r="R72" s="165" t="n">
        <f aca="false">F72*Q72</f>
        <v>5830.16676455699</v>
      </c>
      <c r="S72" s="166" t="n">
        <f aca="false">ROUND(R72/$G$9,0)</f>
        <v>117</v>
      </c>
      <c r="T72" s="167" t="n">
        <f aca="false">INT(S72/60)+(MOD(S72,60)/100)</f>
        <v>1.57</v>
      </c>
      <c r="U72" s="48"/>
    </row>
    <row r="73" customFormat="false" ht="14.1" hidden="false" customHeight="true" outlineLevel="0" collapsed="false">
      <c r="B73" s="46"/>
      <c r="C73" s="50"/>
      <c r="D73" s="50"/>
      <c r="E73" s="57" t="s">
        <v>114</v>
      </c>
      <c r="F73" s="164" t="n">
        <v>0</v>
      </c>
      <c r="G73" s="121" t="n">
        <v>23.24</v>
      </c>
      <c r="H73" s="164" t="n">
        <v>20</v>
      </c>
      <c r="I73" s="164" t="n">
        <v>5.57</v>
      </c>
      <c r="J73" s="122" t="n">
        <f aca="false">SUM(G73,H73,I73)</f>
        <v>48.81</v>
      </c>
      <c r="K73" s="122" t="n">
        <f aca="false">5*H73</f>
        <v>100</v>
      </c>
      <c r="L73" s="122" t="n">
        <f aca="false">'Field capacity and SPT density'!$U$17</f>
        <v>1.6891986476771</v>
      </c>
      <c r="M73" s="122" t="n">
        <f aca="false">J73+K73*L73</f>
        <v>217.72986476771</v>
      </c>
      <c r="N73" s="122" t="n">
        <f aca="false">M73-H73-G73</f>
        <v>174.489864767711</v>
      </c>
      <c r="O73" s="122" t="n">
        <f aca="false">(N73/$G$8)</f>
        <v>109.056165479819</v>
      </c>
      <c r="P73" s="122" t="n">
        <f aca="false">H73/2.65</f>
        <v>7.54716981132076</v>
      </c>
      <c r="Q73" s="122" t="n">
        <f aca="false">O73+P73</f>
        <v>116.60333529114</v>
      </c>
      <c r="R73" s="165" t="n">
        <f aca="false">F73*Q73</f>
        <v>0</v>
      </c>
      <c r="S73" s="166" t="n">
        <f aca="false">ROUND(R73/$G$9,0)</f>
        <v>0</v>
      </c>
      <c r="T73" s="167" t="n">
        <f aca="false">INT(S73/60)+(MOD(S73,60)/100)</f>
        <v>0</v>
      </c>
      <c r="U73" s="48"/>
    </row>
    <row r="74" customFormat="false" ht="14.1" hidden="false" customHeight="true" outlineLevel="0" collapsed="false">
      <c r="B74" s="46"/>
      <c r="C74" s="50"/>
      <c r="D74" s="168"/>
      <c r="E74" s="169" t="s">
        <v>114</v>
      </c>
      <c r="F74" s="170" t="n">
        <v>50</v>
      </c>
      <c r="G74" s="171" t="n">
        <v>23.24</v>
      </c>
      <c r="H74" s="170" t="n">
        <v>20</v>
      </c>
      <c r="I74" s="170" t="n">
        <v>5.57</v>
      </c>
      <c r="J74" s="172" t="n">
        <f aca="false">SUM(G74,H74,I74)</f>
        <v>48.81</v>
      </c>
      <c r="K74" s="172" t="n">
        <f aca="false">5*H74</f>
        <v>100</v>
      </c>
      <c r="L74" s="172" t="n">
        <f aca="false">'Field capacity and SPT density'!$U$17</f>
        <v>1.6891986476771</v>
      </c>
      <c r="M74" s="172" t="n">
        <f aca="false">J74+K74*L74</f>
        <v>217.72986476771</v>
      </c>
      <c r="N74" s="172" t="n">
        <f aca="false">M74-H74-G74</f>
        <v>174.489864767711</v>
      </c>
      <c r="O74" s="172" t="n">
        <f aca="false">(N74/$G$8)</f>
        <v>109.056165479819</v>
      </c>
      <c r="P74" s="172" t="n">
        <f aca="false">H74/2.65</f>
        <v>7.54716981132076</v>
      </c>
      <c r="Q74" s="172" t="n">
        <f aca="false">O74+P74</f>
        <v>116.60333529114</v>
      </c>
      <c r="R74" s="173" t="n">
        <f aca="false">F74*Q74</f>
        <v>5830.16676455699</v>
      </c>
      <c r="S74" s="174" t="n">
        <f aca="false">ROUND(R74/$G$9,0)</f>
        <v>117</v>
      </c>
      <c r="T74" s="175" t="n">
        <f aca="false">INT(S74/60)+(MOD(S74,60)/100)</f>
        <v>1.57</v>
      </c>
      <c r="U74" s="48"/>
    </row>
    <row r="75" customFormat="false" ht="14.1" hidden="false" customHeight="true" outlineLevel="0" collapsed="false">
      <c r="B75" s="46"/>
      <c r="C75" s="50"/>
      <c r="D75" s="176" t="s">
        <v>160</v>
      </c>
      <c r="E75" s="177" t="s">
        <v>103</v>
      </c>
      <c r="F75" s="178" t="n">
        <v>0</v>
      </c>
      <c r="G75" s="179" t="n">
        <v>23</v>
      </c>
      <c r="H75" s="178" t="n">
        <v>20</v>
      </c>
      <c r="I75" s="180" t="n">
        <v>5.57</v>
      </c>
      <c r="J75" s="181" t="n">
        <f aca="false">SUM(G75,H75,I75)</f>
        <v>48.57</v>
      </c>
      <c r="K75" s="181" t="n">
        <f aca="false">5*H75</f>
        <v>100</v>
      </c>
      <c r="L75" s="181" t="n">
        <f aca="false">'Field capacity and SPT density'!$U$17</f>
        <v>1.6891986476771</v>
      </c>
      <c r="M75" s="181" t="n">
        <f aca="false">J75+K75*L75</f>
        <v>217.48986476771</v>
      </c>
      <c r="N75" s="181" t="n">
        <f aca="false">M75-H75-G65</f>
        <v>174.59986476771</v>
      </c>
      <c r="O75" s="181" t="n">
        <f aca="false">(N75/$G$8)</f>
        <v>109.124915479819</v>
      </c>
      <c r="P75" s="181" t="n">
        <f aca="false">H75/2.65</f>
        <v>7.54716981132076</v>
      </c>
      <c r="Q75" s="181" t="n">
        <f aca="false">O75+P75</f>
        <v>116.67208529114</v>
      </c>
      <c r="R75" s="182" t="n">
        <f aca="false">F75*Q75</f>
        <v>0</v>
      </c>
      <c r="S75" s="183" t="n">
        <f aca="false">ROUND(R75/$G$9,0)</f>
        <v>0</v>
      </c>
      <c r="T75" s="184" t="n">
        <f aca="false">INT(S75/60)+(MOD(S75,60)/100)</f>
        <v>0</v>
      </c>
      <c r="U75" s="48"/>
    </row>
    <row r="76" customFormat="false" ht="14.1" hidden="false" customHeight="true" outlineLevel="0" collapsed="false">
      <c r="B76" s="46"/>
      <c r="C76" s="50"/>
      <c r="D76" s="50"/>
      <c r="E76" s="57" t="s">
        <v>103</v>
      </c>
      <c r="F76" s="163" t="n">
        <v>50</v>
      </c>
      <c r="G76" s="121" t="n">
        <v>23</v>
      </c>
      <c r="H76" s="163" t="n">
        <v>20</v>
      </c>
      <c r="I76" s="164" t="n">
        <v>5.57</v>
      </c>
      <c r="J76" s="122" t="n">
        <f aca="false">SUM(G76,H76,I76)</f>
        <v>48.57</v>
      </c>
      <c r="K76" s="122" t="n">
        <f aca="false">5*H76</f>
        <v>100</v>
      </c>
      <c r="L76" s="122" t="n">
        <f aca="false">'Field capacity and SPT density'!$U$17</f>
        <v>1.6891986476771</v>
      </c>
      <c r="M76" s="122" t="n">
        <f aca="false">J76+K76*L76</f>
        <v>217.48986476771</v>
      </c>
      <c r="N76" s="122" t="n">
        <f aca="false">M76-H76-G66</f>
        <v>174.59986476771</v>
      </c>
      <c r="O76" s="122" t="n">
        <f aca="false">(N76/$G$8)</f>
        <v>109.124915479819</v>
      </c>
      <c r="P76" s="122" t="n">
        <f aca="false">H76/2.65</f>
        <v>7.54716981132076</v>
      </c>
      <c r="Q76" s="122" t="n">
        <f aca="false">O76+P76</f>
        <v>116.67208529114</v>
      </c>
      <c r="R76" s="165" t="n">
        <f aca="false">F76*Q76</f>
        <v>5833.60426455699</v>
      </c>
      <c r="S76" s="166" t="n">
        <f aca="false">ROUND(R76/$G$9,0)</f>
        <v>117</v>
      </c>
      <c r="T76" s="167" t="n">
        <f aca="false">INT(S76/60)+(MOD(S76,60)/100)</f>
        <v>1.57</v>
      </c>
      <c r="U76" s="48"/>
    </row>
    <row r="77" customFormat="false" ht="14.1" hidden="false" customHeight="true" outlineLevel="0" collapsed="false">
      <c r="B77" s="46"/>
      <c r="C77" s="50"/>
      <c r="D77" s="50"/>
      <c r="E77" s="57" t="s">
        <v>105</v>
      </c>
      <c r="F77" s="163" t="n">
        <v>0</v>
      </c>
      <c r="G77" s="121" t="n">
        <v>22.16</v>
      </c>
      <c r="H77" s="163" t="n">
        <v>20</v>
      </c>
      <c r="I77" s="164" t="n">
        <v>5.57</v>
      </c>
      <c r="J77" s="122" t="n">
        <f aca="false">SUM(G77,H77,I77)</f>
        <v>47.73</v>
      </c>
      <c r="K77" s="122" t="n">
        <f aca="false">5*H77</f>
        <v>100</v>
      </c>
      <c r="L77" s="122" t="n">
        <f aca="false">'Field capacity and SPT density'!$U$17</f>
        <v>1.6891986476771</v>
      </c>
      <c r="M77" s="122" t="n">
        <f aca="false">J77+K77*L77</f>
        <v>216.64986476771</v>
      </c>
      <c r="N77" s="122" t="n">
        <f aca="false">M77-H77-G67</f>
        <v>171.93986476771</v>
      </c>
      <c r="O77" s="122" t="n">
        <f aca="false">(N77/$G$8)</f>
        <v>107.462415479819</v>
      </c>
      <c r="P77" s="122" t="n">
        <f aca="false">H77/2.65</f>
        <v>7.54716981132076</v>
      </c>
      <c r="Q77" s="122" t="n">
        <f aca="false">O77+P77</f>
        <v>115.00958529114</v>
      </c>
      <c r="R77" s="165" t="n">
        <f aca="false">F77*Q77</f>
        <v>0</v>
      </c>
      <c r="S77" s="166" t="n">
        <f aca="false">ROUND(R77/$G$9,0)</f>
        <v>0</v>
      </c>
      <c r="T77" s="167" t="n">
        <f aca="false">INT(S77/60)+(MOD(S77,60)/100)</f>
        <v>0</v>
      </c>
      <c r="U77" s="48"/>
    </row>
    <row r="78" customFormat="false" ht="14.1" hidden="false" customHeight="true" outlineLevel="0" collapsed="false">
      <c r="B78" s="46"/>
      <c r="C78" s="50"/>
      <c r="D78" s="50"/>
      <c r="E78" s="57" t="s">
        <v>105</v>
      </c>
      <c r="F78" s="164" t="n">
        <v>50</v>
      </c>
      <c r="G78" s="121" t="n">
        <v>22.16</v>
      </c>
      <c r="H78" s="164" t="n">
        <v>20</v>
      </c>
      <c r="I78" s="164" t="n">
        <v>5.57</v>
      </c>
      <c r="J78" s="122" t="n">
        <f aca="false">SUM(G78,H78,I78)</f>
        <v>47.73</v>
      </c>
      <c r="K78" s="122" t="n">
        <f aca="false">5*H78</f>
        <v>100</v>
      </c>
      <c r="L78" s="122" t="n">
        <f aca="false">'Field capacity and SPT density'!$U$17</f>
        <v>1.6891986476771</v>
      </c>
      <c r="M78" s="122" t="n">
        <f aca="false">J78+K78*L78</f>
        <v>216.64986476771</v>
      </c>
      <c r="N78" s="122" t="n">
        <f aca="false">M78-H78-G68</f>
        <v>171.93986476771</v>
      </c>
      <c r="O78" s="122" t="n">
        <f aca="false">(N78/$G$8)</f>
        <v>107.462415479819</v>
      </c>
      <c r="P78" s="122" t="n">
        <f aca="false">H78/2.65</f>
        <v>7.54716981132076</v>
      </c>
      <c r="Q78" s="122" t="n">
        <f aca="false">O78+P78</f>
        <v>115.00958529114</v>
      </c>
      <c r="R78" s="165" t="n">
        <f aca="false">F78*Q78</f>
        <v>5750.47926455699</v>
      </c>
      <c r="S78" s="166" t="n">
        <f aca="false">ROUND(R78/$G$9,0)</f>
        <v>115</v>
      </c>
      <c r="T78" s="167" t="n">
        <f aca="false">INT(S78/60)+(MOD(S78,60)/100)</f>
        <v>1.55</v>
      </c>
      <c r="U78" s="48"/>
    </row>
    <row r="79" customFormat="false" ht="14.1" hidden="false" customHeight="true" outlineLevel="0" collapsed="false">
      <c r="B79" s="46"/>
      <c r="C79" s="50"/>
      <c r="D79" s="50"/>
      <c r="E79" s="57" t="s">
        <v>108</v>
      </c>
      <c r="F79" s="164" t="n">
        <v>0</v>
      </c>
      <c r="G79" s="121" t="n">
        <v>22.22</v>
      </c>
      <c r="H79" s="164" t="n">
        <v>20</v>
      </c>
      <c r="I79" s="164" t="n">
        <v>5.57</v>
      </c>
      <c r="J79" s="122" t="n">
        <f aca="false">SUM(G79,H79,I79)</f>
        <v>47.79</v>
      </c>
      <c r="K79" s="122" t="n">
        <f aca="false">5*H79</f>
        <v>100</v>
      </c>
      <c r="L79" s="122" t="n">
        <f aca="false">'Field capacity and SPT density'!$U$17</f>
        <v>1.6891986476771</v>
      </c>
      <c r="M79" s="122" t="n">
        <f aca="false">J79+K79*L79</f>
        <v>216.70986476771</v>
      </c>
      <c r="N79" s="122" t="n">
        <f aca="false">M79-H79-G69</f>
        <v>171.67986476771</v>
      </c>
      <c r="O79" s="122" t="n">
        <f aca="false">(N79/$G$8)</f>
        <v>107.299915479819</v>
      </c>
      <c r="P79" s="122" t="n">
        <f aca="false">H79/2.65</f>
        <v>7.54716981132076</v>
      </c>
      <c r="Q79" s="122" t="n">
        <f aca="false">O79+P79</f>
        <v>114.84708529114</v>
      </c>
      <c r="R79" s="165" t="n">
        <f aca="false">F79*Q79</f>
        <v>0</v>
      </c>
      <c r="S79" s="166" t="n">
        <f aca="false">ROUND(R79/$G$9,0)</f>
        <v>0</v>
      </c>
      <c r="T79" s="167" t="n">
        <f aca="false">INT(S79/60)+(MOD(S79,60)/100)</f>
        <v>0</v>
      </c>
      <c r="U79" s="48"/>
    </row>
    <row r="80" customFormat="false" ht="14.1" hidden="false" customHeight="true" outlineLevel="0" collapsed="false">
      <c r="B80" s="46"/>
      <c r="C80" s="50"/>
      <c r="D80" s="50"/>
      <c r="E80" s="57" t="s">
        <v>108</v>
      </c>
      <c r="F80" s="164" t="n">
        <v>50</v>
      </c>
      <c r="G80" s="121" t="n">
        <v>22.22</v>
      </c>
      <c r="H80" s="164" t="n">
        <v>20</v>
      </c>
      <c r="I80" s="164" t="n">
        <v>5.57</v>
      </c>
      <c r="J80" s="122" t="n">
        <f aca="false">SUM(G80,H80,I80)</f>
        <v>47.79</v>
      </c>
      <c r="K80" s="122" t="n">
        <f aca="false">5*H80</f>
        <v>100</v>
      </c>
      <c r="L80" s="122" t="n">
        <f aca="false">'Field capacity and SPT density'!$U$17</f>
        <v>1.6891986476771</v>
      </c>
      <c r="M80" s="122" t="n">
        <f aca="false">J80+K80*L80</f>
        <v>216.70986476771</v>
      </c>
      <c r="N80" s="122" t="n">
        <f aca="false">M80-H80-G70</f>
        <v>171.67986476771</v>
      </c>
      <c r="O80" s="122" t="n">
        <f aca="false">(N80/$G$8)</f>
        <v>107.299915479819</v>
      </c>
      <c r="P80" s="122" t="n">
        <f aca="false">H80/2.65</f>
        <v>7.54716981132076</v>
      </c>
      <c r="Q80" s="122" t="n">
        <f aca="false">O80+P80</f>
        <v>114.84708529114</v>
      </c>
      <c r="R80" s="165" t="n">
        <f aca="false">F80*Q80</f>
        <v>5742.35426455699</v>
      </c>
      <c r="S80" s="166" t="n">
        <f aca="false">ROUND(R80/$G$9,0)</f>
        <v>115</v>
      </c>
      <c r="T80" s="167" t="n">
        <f aca="false">INT(S80/60)+(MOD(S80,60)/100)</f>
        <v>1.55</v>
      </c>
      <c r="U80" s="48"/>
    </row>
    <row r="81" customFormat="false" ht="14.1" hidden="false" customHeight="true" outlineLevel="0" collapsed="false">
      <c r="B81" s="46"/>
      <c r="C81" s="50"/>
      <c r="D81" s="50"/>
      <c r="E81" s="57" t="s">
        <v>111</v>
      </c>
      <c r="F81" s="164" t="n">
        <v>0</v>
      </c>
      <c r="G81" s="121" t="n">
        <v>24.81</v>
      </c>
      <c r="H81" s="164" t="n">
        <v>20</v>
      </c>
      <c r="I81" s="164" t="n">
        <v>5.57</v>
      </c>
      <c r="J81" s="122" t="n">
        <f aca="false">SUM(G81,H81,I81)</f>
        <v>50.38</v>
      </c>
      <c r="K81" s="122" t="n">
        <f aca="false">5*H81</f>
        <v>100</v>
      </c>
      <c r="L81" s="122" t="n">
        <f aca="false">'Field capacity and SPT density'!$U$17</f>
        <v>1.6891986476771</v>
      </c>
      <c r="M81" s="122" t="n">
        <f aca="false">J81+K81*L81</f>
        <v>219.29986476771</v>
      </c>
      <c r="N81" s="122" t="n">
        <f aca="false">M81-H81-G71</f>
        <v>176.479864767711</v>
      </c>
      <c r="O81" s="122" t="n">
        <f aca="false">(N81/$G$8)</f>
        <v>110.299915479819</v>
      </c>
      <c r="P81" s="122" t="n">
        <f aca="false">H81/2.65</f>
        <v>7.54716981132076</v>
      </c>
      <c r="Q81" s="122" t="n">
        <f aca="false">O81+P81</f>
        <v>117.84708529114</v>
      </c>
      <c r="R81" s="165" t="n">
        <f aca="false">F81*Q81</f>
        <v>0</v>
      </c>
      <c r="S81" s="166" t="n">
        <f aca="false">ROUND(R81/$G$9,0)</f>
        <v>0</v>
      </c>
      <c r="T81" s="167" t="n">
        <f aca="false">INT(S81/60)+(MOD(S81,60)/100)</f>
        <v>0</v>
      </c>
      <c r="U81" s="48"/>
    </row>
    <row r="82" customFormat="false" ht="14.1" hidden="false" customHeight="true" outlineLevel="0" collapsed="false">
      <c r="B82" s="46"/>
      <c r="C82" s="50"/>
      <c r="D82" s="50"/>
      <c r="E82" s="57" t="s">
        <v>111</v>
      </c>
      <c r="F82" s="164" t="n">
        <v>50</v>
      </c>
      <c r="G82" s="121" t="n">
        <v>24.81</v>
      </c>
      <c r="H82" s="164" t="n">
        <v>20</v>
      </c>
      <c r="I82" s="164" t="n">
        <v>5.57</v>
      </c>
      <c r="J82" s="122" t="n">
        <f aca="false">SUM(G82,H82,I82)</f>
        <v>50.38</v>
      </c>
      <c r="K82" s="122" t="n">
        <f aca="false">5*H82</f>
        <v>100</v>
      </c>
      <c r="L82" s="122" t="n">
        <f aca="false">'Field capacity and SPT density'!$U$17</f>
        <v>1.6891986476771</v>
      </c>
      <c r="M82" s="122" t="n">
        <f aca="false">J82+K82*L82</f>
        <v>219.29986476771</v>
      </c>
      <c r="N82" s="122" t="n">
        <f aca="false">M82-H82-G72</f>
        <v>176.479864767711</v>
      </c>
      <c r="O82" s="122" t="n">
        <f aca="false">(N82/$G$8)</f>
        <v>110.299915479819</v>
      </c>
      <c r="P82" s="122" t="n">
        <f aca="false">H82/2.65</f>
        <v>7.54716981132076</v>
      </c>
      <c r="Q82" s="122" t="n">
        <f aca="false">O82+P82</f>
        <v>117.84708529114</v>
      </c>
      <c r="R82" s="165" t="n">
        <f aca="false">F82*Q82</f>
        <v>5892.35426455699</v>
      </c>
      <c r="S82" s="166" t="n">
        <f aca="false">ROUND(R82/$G$9,0)</f>
        <v>118</v>
      </c>
      <c r="T82" s="167" t="n">
        <f aca="false">INT(S82/60)+(MOD(S82,60)/100)</f>
        <v>1.58</v>
      </c>
      <c r="U82" s="48"/>
    </row>
    <row r="83" customFormat="false" ht="14.1" hidden="false" customHeight="true" outlineLevel="0" collapsed="false">
      <c r="B83" s="46"/>
      <c r="C83" s="50"/>
      <c r="D83" s="50"/>
      <c r="E83" s="57" t="s">
        <v>114</v>
      </c>
      <c r="F83" s="164" t="n">
        <v>0</v>
      </c>
      <c r="G83" s="121" t="n">
        <v>22.71</v>
      </c>
      <c r="H83" s="164" t="n">
        <v>20</v>
      </c>
      <c r="I83" s="164" t="n">
        <v>5.57</v>
      </c>
      <c r="J83" s="122" t="n">
        <f aca="false">SUM(G83,H83,I83)</f>
        <v>48.28</v>
      </c>
      <c r="K83" s="122" t="n">
        <f aca="false">5*H83</f>
        <v>100</v>
      </c>
      <c r="L83" s="122" t="n">
        <f aca="false">'Field capacity and SPT density'!$U$17</f>
        <v>1.6891986476771</v>
      </c>
      <c r="M83" s="122" t="n">
        <f aca="false">J83+K83*L83</f>
        <v>217.199864767711</v>
      </c>
      <c r="N83" s="122" t="n">
        <f aca="false">M83-H83-G73</f>
        <v>173.95986476771</v>
      </c>
      <c r="O83" s="122" t="n">
        <f aca="false">(N83/$G$8)</f>
        <v>108.724915479819</v>
      </c>
      <c r="P83" s="122" t="n">
        <f aca="false">H83/2.65</f>
        <v>7.54716981132076</v>
      </c>
      <c r="Q83" s="122" t="n">
        <f aca="false">O83+P83</f>
        <v>116.27208529114</v>
      </c>
      <c r="R83" s="165" t="n">
        <f aca="false">F83*Q83</f>
        <v>0</v>
      </c>
      <c r="S83" s="166" t="n">
        <f aca="false">ROUND(R83/$G$9,0)</f>
        <v>0</v>
      </c>
      <c r="T83" s="167" t="n">
        <f aca="false">INT(S83/60)+(MOD(S83,60)/100)</f>
        <v>0</v>
      </c>
      <c r="U83" s="48"/>
    </row>
    <row r="84" customFormat="false" ht="14.1" hidden="false" customHeight="true" outlineLevel="0" collapsed="false">
      <c r="B84" s="46"/>
      <c r="C84" s="50"/>
      <c r="D84" s="168"/>
      <c r="E84" s="169" t="s">
        <v>114</v>
      </c>
      <c r="F84" s="170" t="n">
        <v>50</v>
      </c>
      <c r="G84" s="171" t="n">
        <v>22.71</v>
      </c>
      <c r="H84" s="170" t="n">
        <v>20</v>
      </c>
      <c r="I84" s="170" t="n">
        <v>5.57</v>
      </c>
      <c r="J84" s="172" t="n">
        <f aca="false">SUM(G84,H84,I84)</f>
        <v>48.28</v>
      </c>
      <c r="K84" s="172" t="n">
        <f aca="false">5*H84</f>
        <v>100</v>
      </c>
      <c r="L84" s="172" t="n">
        <f aca="false">'Field capacity and SPT density'!$U$17</f>
        <v>1.6891986476771</v>
      </c>
      <c r="M84" s="172" t="n">
        <f aca="false">J84+K84*L84</f>
        <v>217.199864767711</v>
      </c>
      <c r="N84" s="172" t="n">
        <f aca="false">M84-H84-G74</f>
        <v>173.95986476771</v>
      </c>
      <c r="O84" s="172" t="n">
        <f aca="false">(N84/$G$8)</f>
        <v>108.724915479819</v>
      </c>
      <c r="P84" s="172" t="n">
        <f aca="false">H84/2.65</f>
        <v>7.54716981132076</v>
      </c>
      <c r="Q84" s="172" t="n">
        <f aca="false">O84+P84</f>
        <v>116.27208529114</v>
      </c>
      <c r="R84" s="173" t="n">
        <f aca="false">F84*Q84</f>
        <v>5813.60426455699</v>
      </c>
      <c r="S84" s="174" t="n">
        <f aca="false">ROUND(R84/$G$9,0)</f>
        <v>116</v>
      </c>
      <c r="T84" s="175" t="n">
        <f aca="false">INT(S84/60)+(MOD(S84,60)/100)</f>
        <v>1.56</v>
      </c>
      <c r="U84" s="48"/>
    </row>
    <row r="85" customFormat="false" ht="14.1" hidden="false" customHeight="true" outlineLevel="0" collapsed="false">
      <c r="B85" s="46"/>
      <c r="C85" s="50"/>
      <c r="D85" s="50" t="s">
        <v>161</v>
      </c>
      <c r="E85" s="57" t="s">
        <v>103</v>
      </c>
      <c r="F85" s="163" t="n">
        <v>0</v>
      </c>
      <c r="G85" s="121" t="n">
        <v>25.12</v>
      </c>
      <c r="H85" s="163" t="n">
        <v>20</v>
      </c>
      <c r="I85" s="164" t="n">
        <v>5.57</v>
      </c>
      <c r="J85" s="122" t="n">
        <f aca="false">SUM(G85,H85,I85)</f>
        <v>50.69</v>
      </c>
      <c r="K85" s="122" t="n">
        <f aca="false">5*H85</f>
        <v>100</v>
      </c>
      <c r="L85" s="122" t="n">
        <f aca="false">'Field capacity and SPT density'!$U$17</f>
        <v>1.6891986476771</v>
      </c>
      <c r="M85" s="122" t="n">
        <f aca="false">J85+K85*L85</f>
        <v>219.60986476771</v>
      </c>
      <c r="N85" s="122" t="n">
        <f aca="false">M85-H85-G85</f>
        <v>174.489864767711</v>
      </c>
      <c r="O85" s="122" t="n">
        <f aca="false">(N85/$G$8)</f>
        <v>109.056165479819</v>
      </c>
      <c r="P85" s="122" t="n">
        <f aca="false">H85/2.65</f>
        <v>7.54716981132076</v>
      </c>
      <c r="Q85" s="122" t="n">
        <f aca="false">O85+P85</f>
        <v>116.60333529114</v>
      </c>
      <c r="R85" s="165" t="n">
        <f aca="false">F85*Q85</f>
        <v>0</v>
      </c>
      <c r="S85" s="166" t="n">
        <f aca="false">ROUND(R85/$G$9,0)</f>
        <v>0</v>
      </c>
      <c r="T85" s="167" t="n">
        <f aca="false">INT(S85/60)+(MOD(S85,60)/100)</f>
        <v>0</v>
      </c>
      <c r="U85" s="48"/>
    </row>
    <row r="86" customFormat="false" ht="14.1" hidden="false" customHeight="true" outlineLevel="0" collapsed="false">
      <c r="B86" s="46"/>
      <c r="C86" s="50"/>
      <c r="D86" s="50"/>
      <c r="E86" s="57" t="s">
        <v>103</v>
      </c>
      <c r="F86" s="163" t="n">
        <v>50</v>
      </c>
      <c r="G86" s="121" t="n">
        <v>25.12</v>
      </c>
      <c r="H86" s="163" t="n">
        <v>20</v>
      </c>
      <c r="I86" s="164" t="n">
        <v>5.57</v>
      </c>
      <c r="J86" s="122" t="n">
        <f aca="false">SUM(G86,H86,I86)</f>
        <v>50.69</v>
      </c>
      <c r="K86" s="122" t="n">
        <f aca="false">5*H86</f>
        <v>100</v>
      </c>
      <c r="L86" s="122" t="n">
        <f aca="false">'Field capacity and SPT density'!$U$17</f>
        <v>1.6891986476771</v>
      </c>
      <c r="M86" s="122" t="n">
        <f aca="false">J86+K86*L86</f>
        <v>219.60986476771</v>
      </c>
      <c r="N86" s="122" t="n">
        <f aca="false">M86-H86-G86</f>
        <v>174.489864767711</v>
      </c>
      <c r="O86" s="122" t="n">
        <f aca="false">(N86/$G$8)</f>
        <v>109.056165479819</v>
      </c>
      <c r="P86" s="122" t="n">
        <f aca="false">H86/2.65</f>
        <v>7.54716981132076</v>
      </c>
      <c r="Q86" s="122" t="n">
        <f aca="false">O86+P86</f>
        <v>116.60333529114</v>
      </c>
      <c r="R86" s="165" t="n">
        <f aca="false">F86*Q86</f>
        <v>5830.16676455699</v>
      </c>
      <c r="S86" s="166" t="n">
        <f aca="false">ROUND(R86/$G$9,0)</f>
        <v>117</v>
      </c>
      <c r="T86" s="167" t="n">
        <f aca="false">INT(S86/60)+(MOD(S86,60)/100)</f>
        <v>1.57</v>
      </c>
      <c r="U86" s="48"/>
    </row>
    <row r="87" customFormat="false" ht="14.1" hidden="false" customHeight="true" outlineLevel="0" collapsed="false">
      <c r="B87" s="46"/>
      <c r="C87" s="50"/>
      <c r="D87" s="50"/>
      <c r="E87" s="57" t="s">
        <v>105</v>
      </c>
      <c r="F87" s="163" t="n">
        <v>0</v>
      </c>
      <c r="G87" s="121" t="n">
        <v>23.06</v>
      </c>
      <c r="H87" s="163" t="n">
        <v>20</v>
      </c>
      <c r="I87" s="164" t="n">
        <v>5.57</v>
      </c>
      <c r="J87" s="122" t="n">
        <f aca="false">SUM(G87,H87,I87)</f>
        <v>48.63</v>
      </c>
      <c r="K87" s="122" t="n">
        <f aca="false">5*H87</f>
        <v>100</v>
      </c>
      <c r="L87" s="122" t="n">
        <f aca="false">'Field capacity and SPT density'!$U$17</f>
        <v>1.6891986476771</v>
      </c>
      <c r="M87" s="122" t="n">
        <f aca="false">J87+K87*L87</f>
        <v>217.54986476771</v>
      </c>
      <c r="N87" s="122" t="n">
        <f aca="false">M87-H87-G87</f>
        <v>174.489864767711</v>
      </c>
      <c r="O87" s="122" t="n">
        <f aca="false">(N87/$G$8)</f>
        <v>109.056165479819</v>
      </c>
      <c r="P87" s="122" t="n">
        <f aca="false">H87/2.65</f>
        <v>7.54716981132076</v>
      </c>
      <c r="Q87" s="122" t="n">
        <f aca="false">O87+P87</f>
        <v>116.60333529114</v>
      </c>
      <c r="R87" s="165" t="n">
        <f aca="false">F87*Q87</f>
        <v>0</v>
      </c>
      <c r="S87" s="166" t="n">
        <f aca="false">ROUND(R87/$G$9,0)</f>
        <v>0</v>
      </c>
      <c r="T87" s="167" t="n">
        <f aca="false">INT(S87/60)+(MOD(S87,60)/100)</f>
        <v>0</v>
      </c>
      <c r="U87" s="48"/>
    </row>
    <row r="88" customFormat="false" ht="14.1" hidden="false" customHeight="true" outlineLevel="0" collapsed="false">
      <c r="B88" s="46"/>
      <c r="C88" s="50"/>
      <c r="D88" s="50"/>
      <c r="E88" s="57" t="s">
        <v>105</v>
      </c>
      <c r="F88" s="164" t="n">
        <v>50</v>
      </c>
      <c r="G88" s="121" t="n">
        <v>23.06</v>
      </c>
      <c r="H88" s="164" t="n">
        <v>20</v>
      </c>
      <c r="I88" s="164" t="n">
        <v>5.57</v>
      </c>
      <c r="J88" s="122" t="n">
        <f aca="false">SUM(G88,H88,I88)</f>
        <v>48.63</v>
      </c>
      <c r="K88" s="122" t="n">
        <f aca="false">5*H88</f>
        <v>100</v>
      </c>
      <c r="L88" s="122" t="n">
        <f aca="false">'Field capacity and SPT density'!$U$17</f>
        <v>1.6891986476771</v>
      </c>
      <c r="M88" s="122" t="n">
        <f aca="false">J88+K88*L88</f>
        <v>217.54986476771</v>
      </c>
      <c r="N88" s="122" t="n">
        <f aca="false">M88-H88-G88</f>
        <v>174.489864767711</v>
      </c>
      <c r="O88" s="122" t="n">
        <f aca="false">(N88/$G$8)</f>
        <v>109.056165479819</v>
      </c>
      <c r="P88" s="122" t="n">
        <f aca="false">H88/2.65</f>
        <v>7.54716981132076</v>
      </c>
      <c r="Q88" s="122" t="n">
        <f aca="false">O88+P88</f>
        <v>116.60333529114</v>
      </c>
      <c r="R88" s="165" t="n">
        <f aca="false">F88*Q88</f>
        <v>5830.16676455699</v>
      </c>
      <c r="S88" s="166" t="n">
        <f aca="false">ROUND(R88/$G$9,0)</f>
        <v>117</v>
      </c>
      <c r="T88" s="167" t="n">
        <f aca="false">INT(S88/60)+(MOD(S88,60)/100)</f>
        <v>1.57</v>
      </c>
      <c r="U88" s="48"/>
    </row>
    <row r="89" customFormat="false" ht="14.1" hidden="false" customHeight="true" outlineLevel="0" collapsed="false">
      <c r="B89" s="46"/>
      <c r="C89" s="50"/>
      <c r="D89" s="50"/>
      <c r="E89" s="57" t="s">
        <v>108</v>
      </c>
      <c r="F89" s="164" t="n">
        <v>0</v>
      </c>
      <c r="G89" s="121" t="n">
        <v>23.9</v>
      </c>
      <c r="H89" s="164" t="n">
        <v>20</v>
      </c>
      <c r="I89" s="164" t="n">
        <v>5.57</v>
      </c>
      <c r="J89" s="122" t="n">
        <f aca="false">SUM(G89,H89,I89)</f>
        <v>49.47</v>
      </c>
      <c r="K89" s="122" t="n">
        <f aca="false">5*H89</f>
        <v>100</v>
      </c>
      <c r="L89" s="122" t="n">
        <f aca="false">'Field capacity and SPT density'!$U$17</f>
        <v>1.6891986476771</v>
      </c>
      <c r="M89" s="122" t="n">
        <f aca="false">J89+K89*L89</f>
        <v>218.38986476771</v>
      </c>
      <c r="N89" s="122" t="n">
        <f aca="false">M89-H89-G89</f>
        <v>174.489864767711</v>
      </c>
      <c r="O89" s="122" t="n">
        <f aca="false">(N89/$G$8)</f>
        <v>109.056165479819</v>
      </c>
      <c r="P89" s="122" t="n">
        <f aca="false">H89/2.65</f>
        <v>7.54716981132076</v>
      </c>
      <c r="Q89" s="122" t="n">
        <f aca="false">O89+P89</f>
        <v>116.60333529114</v>
      </c>
      <c r="R89" s="165" t="n">
        <f aca="false">F89*Q89</f>
        <v>0</v>
      </c>
      <c r="S89" s="166" t="n">
        <f aca="false">ROUND(R89/$G$9,0)</f>
        <v>0</v>
      </c>
      <c r="T89" s="167" t="n">
        <f aca="false">INT(S89/60)+(MOD(S89,60)/100)</f>
        <v>0</v>
      </c>
      <c r="U89" s="48"/>
    </row>
    <row r="90" customFormat="false" ht="14.1" hidden="false" customHeight="true" outlineLevel="0" collapsed="false">
      <c r="B90" s="46"/>
      <c r="C90" s="50"/>
      <c r="D90" s="50"/>
      <c r="E90" s="57" t="s">
        <v>108</v>
      </c>
      <c r="F90" s="164" t="n">
        <v>50</v>
      </c>
      <c r="G90" s="121" t="n">
        <v>23.9</v>
      </c>
      <c r="H90" s="164" t="n">
        <v>20</v>
      </c>
      <c r="I90" s="164" t="n">
        <v>5.57</v>
      </c>
      <c r="J90" s="122" t="n">
        <f aca="false">SUM(G90,H90,I90)</f>
        <v>49.47</v>
      </c>
      <c r="K90" s="122" t="n">
        <f aca="false">5*H90</f>
        <v>100</v>
      </c>
      <c r="L90" s="122" t="n">
        <f aca="false">'Field capacity and SPT density'!$U$17</f>
        <v>1.6891986476771</v>
      </c>
      <c r="M90" s="122" t="n">
        <f aca="false">J90+K90*L90</f>
        <v>218.38986476771</v>
      </c>
      <c r="N90" s="122" t="n">
        <f aca="false">M90-H90-G90</f>
        <v>174.489864767711</v>
      </c>
      <c r="O90" s="122" t="n">
        <f aca="false">(N90/$G$8)</f>
        <v>109.056165479819</v>
      </c>
      <c r="P90" s="122" t="n">
        <f aca="false">H90/2.65</f>
        <v>7.54716981132076</v>
      </c>
      <c r="Q90" s="122" t="n">
        <f aca="false">O90+P90</f>
        <v>116.60333529114</v>
      </c>
      <c r="R90" s="165" t="n">
        <f aca="false">F90*Q90</f>
        <v>5830.16676455699</v>
      </c>
      <c r="S90" s="166" t="n">
        <f aca="false">ROUND(R90/$G$9,0)</f>
        <v>117</v>
      </c>
      <c r="T90" s="167" t="n">
        <f aca="false">INT(S90/60)+(MOD(S90,60)/100)</f>
        <v>1.57</v>
      </c>
      <c r="U90" s="48"/>
    </row>
    <row r="91" customFormat="false" ht="14.1" hidden="false" customHeight="true" outlineLevel="0" collapsed="false">
      <c r="B91" s="46"/>
      <c r="C91" s="50"/>
      <c r="D91" s="50"/>
      <c r="E91" s="57" t="s">
        <v>111</v>
      </c>
      <c r="F91" s="164" t="n">
        <v>0</v>
      </c>
      <c r="G91" s="121" t="n">
        <v>23.96</v>
      </c>
      <c r="H91" s="164" t="n">
        <v>20</v>
      </c>
      <c r="I91" s="164" t="n">
        <v>5.57</v>
      </c>
      <c r="J91" s="122" t="n">
        <f aca="false">SUM(G91,H91,I91)</f>
        <v>49.53</v>
      </c>
      <c r="K91" s="122" t="n">
        <f aca="false">5*H91</f>
        <v>100</v>
      </c>
      <c r="L91" s="122" t="n">
        <f aca="false">'Field capacity and SPT density'!$U$17</f>
        <v>1.6891986476771</v>
      </c>
      <c r="M91" s="122" t="n">
        <f aca="false">J91+K91*L91</f>
        <v>218.44986476771</v>
      </c>
      <c r="N91" s="122" t="n">
        <f aca="false">M91-H91-G91</f>
        <v>174.489864767711</v>
      </c>
      <c r="O91" s="122" t="n">
        <f aca="false">(N91/$G$8)</f>
        <v>109.056165479819</v>
      </c>
      <c r="P91" s="122" t="n">
        <f aca="false">H91/2.65</f>
        <v>7.54716981132076</v>
      </c>
      <c r="Q91" s="122" t="n">
        <f aca="false">O91+P91</f>
        <v>116.60333529114</v>
      </c>
      <c r="R91" s="165" t="n">
        <f aca="false">F91*Q91</f>
        <v>0</v>
      </c>
      <c r="S91" s="166" t="n">
        <f aca="false">ROUND(R91/$G$9,0)</f>
        <v>0</v>
      </c>
      <c r="T91" s="167" t="n">
        <f aca="false">INT(S91/60)+(MOD(S91,60)/100)</f>
        <v>0</v>
      </c>
      <c r="U91" s="48"/>
    </row>
    <row r="92" customFormat="false" ht="14.1" hidden="false" customHeight="true" outlineLevel="0" collapsed="false">
      <c r="B92" s="46"/>
      <c r="C92" s="50"/>
      <c r="D92" s="50"/>
      <c r="E92" s="57" t="s">
        <v>111</v>
      </c>
      <c r="F92" s="164" t="n">
        <v>50</v>
      </c>
      <c r="G92" s="121" t="n">
        <v>23.96</v>
      </c>
      <c r="H92" s="164" t="n">
        <v>20</v>
      </c>
      <c r="I92" s="164" t="n">
        <v>5.57</v>
      </c>
      <c r="J92" s="122" t="n">
        <f aca="false">SUM(G92,H92,I92)</f>
        <v>49.53</v>
      </c>
      <c r="K92" s="122" t="n">
        <f aca="false">5*H92</f>
        <v>100</v>
      </c>
      <c r="L92" s="122" t="n">
        <f aca="false">'Field capacity and SPT density'!$U$17</f>
        <v>1.6891986476771</v>
      </c>
      <c r="M92" s="122" t="n">
        <f aca="false">J92+K92*L92</f>
        <v>218.44986476771</v>
      </c>
      <c r="N92" s="122" t="n">
        <f aca="false">M92-H92-G92</f>
        <v>174.489864767711</v>
      </c>
      <c r="O92" s="122" t="n">
        <f aca="false">(N92/$G$8)</f>
        <v>109.056165479819</v>
      </c>
      <c r="P92" s="122" t="n">
        <f aca="false">H92/2.65</f>
        <v>7.54716981132076</v>
      </c>
      <c r="Q92" s="122" t="n">
        <f aca="false">O92+P92</f>
        <v>116.60333529114</v>
      </c>
      <c r="R92" s="165" t="n">
        <f aca="false">F92*Q92</f>
        <v>5830.16676455699</v>
      </c>
      <c r="S92" s="166" t="n">
        <f aca="false">ROUND(R92/$G$9,0)</f>
        <v>117</v>
      </c>
      <c r="T92" s="167" t="n">
        <f aca="false">INT(S92/60)+(MOD(S92,60)/100)</f>
        <v>1.57</v>
      </c>
      <c r="U92" s="48"/>
    </row>
    <row r="93" customFormat="false" ht="14.1" hidden="false" customHeight="true" outlineLevel="0" collapsed="false">
      <c r="B93" s="46"/>
      <c r="C93" s="50"/>
      <c r="D93" s="50"/>
      <c r="E93" s="57" t="s">
        <v>114</v>
      </c>
      <c r="F93" s="164" t="n">
        <v>0</v>
      </c>
      <c r="G93" s="121" t="n">
        <v>22.04</v>
      </c>
      <c r="H93" s="164" t="n">
        <v>20</v>
      </c>
      <c r="I93" s="164" t="n">
        <v>5.57</v>
      </c>
      <c r="J93" s="122" t="n">
        <f aca="false">SUM(G93,H93,I93)</f>
        <v>47.61</v>
      </c>
      <c r="K93" s="122" t="n">
        <f aca="false">5*H93</f>
        <v>100</v>
      </c>
      <c r="L93" s="122" t="n">
        <f aca="false">'Field capacity and SPT density'!$U$17</f>
        <v>1.6891986476771</v>
      </c>
      <c r="M93" s="122" t="n">
        <f aca="false">J93+K93*L93</f>
        <v>216.52986476771</v>
      </c>
      <c r="N93" s="122" t="n">
        <f aca="false">M93-H93-G93</f>
        <v>174.489864767711</v>
      </c>
      <c r="O93" s="122" t="n">
        <f aca="false">(N93/$G$8)</f>
        <v>109.056165479819</v>
      </c>
      <c r="P93" s="122" t="n">
        <f aca="false">H93/2.65</f>
        <v>7.54716981132076</v>
      </c>
      <c r="Q93" s="122" t="n">
        <f aca="false">O93+P93</f>
        <v>116.60333529114</v>
      </c>
      <c r="R93" s="165" t="n">
        <f aca="false">F93*Q93</f>
        <v>0</v>
      </c>
      <c r="S93" s="166" t="n">
        <f aca="false">ROUND(R93/$G$9,0)</f>
        <v>0</v>
      </c>
      <c r="T93" s="167" t="n">
        <f aca="false">INT(S93/60)+(MOD(S93,60)/100)</f>
        <v>0</v>
      </c>
      <c r="U93" s="48"/>
    </row>
    <row r="94" customFormat="false" ht="14.1" hidden="false" customHeight="true" outlineLevel="0" collapsed="false">
      <c r="B94" s="46"/>
      <c r="C94" s="99"/>
      <c r="D94" s="99"/>
      <c r="E94" s="185" t="s">
        <v>114</v>
      </c>
      <c r="F94" s="186" t="n">
        <v>50</v>
      </c>
      <c r="G94" s="187" t="n">
        <v>22.04</v>
      </c>
      <c r="H94" s="186" t="n">
        <v>20</v>
      </c>
      <c r="I94" s="186" t="n">
        <v>5.57</v>
      </c>
      <c r="J94" s="116" t="n">
        <f aca="false">SUM(G94,H94,I94)</f>
        <v>47.61</v>
      </c>
      <c r="K94" s="116" t="n">
        <f aca="false">5*H94</f>
        <v>100</v>
      </c>
      <c r="L94" s="116" t="n">
        <f aca="false">'Field capacity and SPT density'!$U$17</f>
        <v>1.6891986476771</v>
      </c>
      <c r="M94" s="116" t="n">
        <f aca="false">J94+K94*L94</f>
        <v>216.52986476771</v>
      </c>
      <c r="N94" s="116" t="n">
        <f aca="false">M94-H94-G94</f>
        <v>174.489864767711</v>
      </c>
      <c r="O94" s="116" t="n">
        <f aca="false">(N94/$G$8)</f>
        <v>109.056165479819</v>
      </c>
      <c r="P94" s="116" t="n">
        <f aca="false">H94/2.65</f>
        <v>7.54716981132076</v>
      </c>
      <c r="Q94" s="116" t="n">
        <f aca="false">O94+P94</f>
        <v>116.60333529114</v>
      </c>
      <c r="R94" s="188" t="n">
        <f aca="false">F94*Q94</f>
        <v>5830.16676455699</v>
      </c>
      <c r="S94" s="189" t="n">
        <f aca="false">ROUND(R94/$G$9,0)</f>
        <v>117</v>
      </c>
      <c r="T94" s="190" t="n">
        <f aca="false">INT(S94/60)+(MOD(S94,60)/100)</f>
        <v>1.57</v>
      </c>
      <c r="U94" s="48"/>
    </row>
    <row r="95" customFormat="false" ht="14.1" hidden="false" customHeight="true" outlineLevel="0" collapsed="false">
      <c r="B95" s="46"/>
      <c r="C95" s="50" t="s">
        <v>32</v>
      </c>
      <c r="D95" s="50" t="s">
        <v>158</v>
      </c>
      <c r="E95" s="57" t="s">
        <v>103</v>
      </c>
      <c r="F95" s="162" t="n">
        <v>0</v>
      </c>
      <c r="G95" s="121" t="n">
        <v>22.92</v>
      </c>
      <c r="H95" s="163" t="n">
        <v>20</v>
      </c>
      <c r="I95" s="164" t="n">
        <v>5.67</v>
      </c>
      <c r="J95" s="122" t="n">
        <f aca="false">SUM(G95,H95,I95)</f>
        <v>48.59</v>
      </c>
      <c r="K95" s="122" t="n">
        <f aca="false">5*H95</f>
        <v>100</v>
      </c>
      <c r="L95" s="122" t="n">
        <f aca="false">'Field capacity and SPT density'!$U$20</f>
        <v>1.69069138488979</v>
      </c>
      <c r="M95" s="122" t="n">
        <f aca="false">J95+K95*L95</f>
        <v>217.659138488979</v>
      </c>
      <c r="N95" s="122" t="n">
        <f aca="false">M95-H95-G95</f>
        <v>174.739138488979</v>
      </c>
      <c r="O95" s="122" t="n">
        <f aca="false">(N95/$G$8)</f>
        <v>109.211961555612</v>
      </c>
      <c r="P95" s="122" t="n">
        <f aca="false">H95/2.65</f>
        <v>7.54716981132076</v>
      </c>
      <c r="Q95" s="122" t="n">
        <f aca="false">O95+P95</f>
        <v>116.759131366933</v>
      </c>
      <c r="R95" s="165" t="n">
        <f aca="false">F95*Q95</f>
        <v>0</v>
      </c>
      <c r="S95" s="166" t="n">
        <f aca="false">ROUND(R95/$G$9,0)</f>
        <v>0</v>
      </c>
      <c r="T95" s="167" t="n">
        <f aca="false">INT(S95/60)+(MOD(S95,60)/100)</f>
        <v>0</v>
      </c>
      <c r="U95" s="48"/>
    </row>
    <row r="96" customFormat="false" ht="14.1" hidden="false" customHeight="true" outlineLevel="0" collapsed="false">
      <c r="B96" s="46"/>
      <c r="C96" s="50"/>
      <c r="D96" s="81"/>
      <c r="E96" s="57" t="s">
        <v>103</v>
      </c>
      <c r="F96" s="162" t="n">
        <v>50</v>
      </c>
      <c r="G96" s="121" t="n">
        <v>22.92</v>
      </c>
      <c r="H96" s="163" t="n">
        <v>20</v>
      </c>
      <c r="I96" s="164" t="n">
        <v>5.67</v>
      </c>
      <c r="J96" s="122" t="n">
        <f aca="false">SUM(G96,H96,I96)</f>
        <v>48.59</v>
      </c>
      <c r="K96" s="122" t="n">
        <f aca="false">5*H96</f>
        <v>100</v>
      </c>
      <c r="L96" s="122" t="n">
        <f aca="false">'Field capacity and SPT density'!$U$20</f>
        <v>1.69069138488979</v>
      </c>
      <c r="M96" s="122" t="n">
        <f aca="false">J96+K96*L96</f>
        <v>217.659138488979</v>
      </c>
      <c r="N96" s="122" t="n">
        <f aca="false">M96-H96-G96</f>
        <v>174.739138488979</v>
      </c>
      <c r="O96" s="122" t="n">
        <f aca="false">(N96/$G$8)</f>
        <v>109.211961555612</v>
      </c>
      <c r="P96" s="122" t="n">
        <f aca="false">H96/2.65</f>
        <v>7.54716981132076</v>
      </c>
      <c r="Q96" s="122" t="n">
        <f aca="false">O96+P96</f>
        <v>116.759131366933</v>
      </c>
      <c r="R96" s="165" t="n">
        <f aca="false">F96*Q96</f>
        <v>5837.95656834663</v>
      </c>
      <c r="S96" s="166" t="n">
        <f aca="false">ROUND(R96/$G$9,0)</f>
        <v>117</v>
      </c>
      <c r="T96" s="167" t="n">
        <f aca="false">INT(S96/60)+(MOD(S96,60)/100)</f>
        <v>1.57</v>
      </c>
      <c r="U96" s="48"/>
    </row>
    <row r="97" customFormat="false" ht="14.1" hidden="false" customHeight="true" outlineLevel="0" collapsed="false">
      <c r="B97" s="46"/>
      <c r="C97" s="50"/>
      <c r="D97" s="50"/>
      <c r="E97" s="57" t="s">
        <v>105</v>
      </c>
      <c r="F97" s="164" t="n">
        <v>0</v>
      </c>
      <c r="G97" s="121" t="n">
        <v>23.7</v>
      </c>
      <c r="H97" s="163" t="n">
        <v>20</v>
      </c>
      <c r="I97" s="164" t="n">
        <v>5.67</v>
      </c>
      <c r="J97" s="122" t="n">
        <f aca="false">SUM(G97,H97,I97)</f>
        <v>49.37</v>
      </c>
      <c r="K97" s="122" t="n">
        <f aca="false">5*H97</f>
        <v>100</v>
      </c>
      <c r="L97" s="122" t="n">
        <f aca="false">'Field capacity and SPT density'!$U$20</f>
        <v>1.69069138488979</v>
      </c>
      <c r="M97" s="122" t="n">
        <f aca="false">J97+K97*L97</f>
        <v>218.439138488979</v>
      </c>
      <c r="N97" s="122" t="n">
        <f aca="false">M97-H97-G97</f>
        <v>174.739138488979</v>
      </c>
      <c r="O97" s="122" t="n">
        <f aca="false">(N97/$G$8)</f>
        <v>109.211961555612</v>
      </c>
      <c r="P97" s="122" t="n">
        <f aca="false">H97/2.65</f>
        <v>7.54716981132076</v>
      </c>
      <c r="Q97" s="122" t="n">
        <f aca="false">O97+P97</f>
        <v>116.759131366933</v>
      </c>
      <c r="R97" s="165" t="n">
        <f aca="false">F97*Q97</f>
        <v>0</v>
      </c>
      <c r="S97" s="166" t="n">
        <f aca="false">ROUND(R97/$G$9,0)</f>
        <v>0</v>
      </c>
      <c r="T97" s="167" t="n">
        <f aca="false">INT(S97/60)+(MOD(S97,60)/100)</f>
        <v>0</v>
      </c>
      <c r="U97" s="48"/>
    </row>
    <row r="98" customFormat="false" ht="14.1" hidden="false" customHeight="true" outlineLevel="0" collapsed="false">
      <c r="B98" s="46"/>
      <c r="C98" s="50"/>
      <c r="D98" s="50"/>
      <c r="E98" s="57" t="s">
        <v>105</v>
      </c>
      <c r="F98" s="164" t="n">
        <v>50</v>
      </c>
      <c r="G98" s="121" t="n">
        <v>23.7</v>
      </c>
      <c r="H98" s="164" t="n">
        <v>20</v>
      </c>
      <c r="I98" s="164" t="n">
        <v>5.67</v>
      </c>
      <c r="J98" s="122" t="n">
        <f aca="false">SUM(G98,H98,I98)</f>
        <v>49.37</v>
      </c>
      <c r="K98" s="122" t="n">
        <f aca="false">5*H98</f>
        <v>100</v>
      </c>
      <c r="L98" s="122" t="n">
        <f aca="false">'Field capacity and SPT density'!$U$20</f>
        <v>1.69069138488979</v>
      </c>
      <c r="M98" s="122" t="n">
        <f aca="false">J98+K98*L98</f>
        <v>218.439138488979</v>
      </c>
      <c r="N98" s="122" t="n">
        <f aca="false">M98-H98-G98</f>
        <v>174.739138488979</v>
      </c>
      <c r="O98" s="122" t="n">
        <f aca="false">(N98/$G$8)</f>
        <v>109.211961555612</v>
      </c>
      <c r="P98" s="122" t="n">
        <f aca="false">H98/2.65</f>
        <v>7.54716981132076</v>
      </c>
      <c r="Q98" s="122" t="n">
        <f aca="false">O98+P98</f>
        <v>116.759131366933</v>
      </c>
      <c r="R98" s="165" t="n">
        <f aca="false">F98*Q98</f>
        <v>5837.95656834663</v>
      </c>
      <c r="S98" s="166" t="n">
        <f aca="false">ROUND(R98/$G$9,0)</f>
        <v>117</v>
      </c>
      <c r="T98" s="167" t="n">
        <f aca="false">INT(S98/60)+(MOD(S98,60)/100)</f>
        <v>1.57</v>
      </c>
      <c r="U98" s="48"/>
    </row>
    <row r="99" customFormat="false" ht="14.1" hidden="false" customHeight="true" outlineLevel="0" collapsed="false">
      <c r="B99" s="46"/>
      <c r="C99" s="50"/>
      <c r="D99" s="50"/>
      <c r="E99" s="57" t="s">
        <v>108</v>
      </c>
      <c r="F99" s="164" t="n">
        <v>0</v>
      </c>
      <c r="G99" s="121" t="n">
        <v>22.85</v>
      </c>
      <c r="H99" s="164" t="n">
        <v>20</v>
      </c>
      <c r="I99" s="164" t="n">
        <v>5.67</v>
      </c>
      <c r="J99" s="122" t="n">
        <f aca="false">SUM(G99,H99,I99)</f>
        <v>48.52</v>
      </c>
      <c r="K99" s="122" t="n">
        <f aca="false">5*H99</f>
        <v>100</v>
      </c>
      <c r="L99" s="122" t="n">
        <f aca="false">'Field capacity and SPT density'!$U$20</f>
        <v>1.69069138488979</v>
      </c>
      <c r="M99" s="122" t="n">
        <f aca="false">J99+K99*L99</f>
        <v>217.589138488979</v>
      </c>
      <c r="N99" s="122" t="n">
        <f aca="false">M99-H99-G99</f>
        <v>174.739138488979</v>
      </c>
      <c r="O99" s="122" t="n">
        <f aca="false">(N99/$G$8)</f>
        <v>109.211961555612</v>
      </c>
      <c r="P99" s="122" t="n">
        <f aca="false">H99/2.65</f>
        <v>7.54716981132076</v>
      </c>
      <c r="Q99" s="122" t="n">
        <f aca="false">O99+P99</f>
        <v>116.759131366933</v>
      </c>
      <c r="R99" s="165" t="n">
        <f aca="false">F99*Q99</f>
        <v>0</v>
      </c>
      <c r="S99" s="166" t="n">
        <f aca="false">ROUND(R99/$G$9,0)</f>
        <v>0</v>
      </c>
      <c r="T99" s="167" t="n">
        <f aca="false">INT(S99/60)+(MOD(S99,60)/100)</f>
        <v>0</v>
      </c>
      <c r="U99" s="48"/>
    </row>
    <row r="100" customFormat="false" ht="14.1" hidden="false" customHeight="true" outlineLevel="0" collapsed="false">
      <c r="B100" s="46"/>
      <c r="C100" s="50"/>
      <c r="D100" s="50"/>
      <c r="E100" s="57" t="s">
        <v>108</v>
      </c>
      <c r="F100" s="164" t="n">
        <v>50</v>
      </c>
      <c r="G100" s="121" t="n">
        <v>22.85</v>
      </c>
      <c r="H100" s="164" t="n">
        <v>20</v>
      </c>
      <c r="I100" s="164" t="n">
        <v>5.67</v>
      </c>
      <c r="J100" s="122" t="n">
        <f aca="false">SUM(G100,H100,I100)</f>
        <v>48.52</v>
      </c>
      <c r="K100" s="122" t="n">
        <f aca="false">5*H100</f>
        <v>100</v>
      </c>
      <c r="L100" s="122" t="n">
        <f aca="false">'Field capacity and SPT density'!$U$20</f>
        <v>1.69069138488979</v>
      </c>
      <c r="M100" s="122" t="n">
        <f aca="false">J100+K100*L100</f>
        <v>217.589138488979</v>
      </c>
      <c r="N100" s="122" t="n">
        <f aca="false">M100-H100-G100</f>
        <v>174.739138488979</v>
      </c>
      <c r="O100" s="122" t="n">
        <f aca="false">(N100/$G$8)</f>
        <v>109.211961555612</v>
      </c>
      <c r="P100" s="122" t="n">
        <f aca="false">H100/2.65</f>
        <v>7.54716981132076</v>
      </c>
      <c r="Q100" s="122" t="n">
        <f aca="false">O100+P100</f>
        <v>116.759131366933</v>
      </c>
      <c r="R100" s="165" t="n">
        <f aca="false">F100*Q100</f>
        <v>5837.95656834663</v>
      </c>
      <c r="S100" s="166" t="n">
        <f aca="false">ROUND(R100/$G$9,0)</f>
        <v>117</v>
      </c>
      <c r="T100" s="167" t="n">
        <f aca="false">INT(S100/60)+(MOD(S100,60)/100)</f>
        <v>1.57</v>
      </c>
      <c r="U100" s="48"/>
    </row>
    <row r="101" customFormat="false" ht="14.1" hidden="false" customHeight="true" outlineLevel="0" collapsed="false">
      <c r="B101" s="46"/>
      <c r="C101" s="50"/>
      <c r="D101" s="50"/>
      <c r="E101" s="57" t="s">
        <v>111</v>
      </c>
      <c r="F101" s="164" t="n">
        <v>0</v>
      </c>
      <c r="G101" s="121" t="n">
        <v>22.26</v>
      </c>
      <c r="H101" s="164" t="n">
        <v>20</v>
      </c>
      <c r="I101" s="164" t="n">
        <v>5.67</v>
      </c>
      <c r="J101" s="122" t="n">
        <f aca="false">SUM(G101,H101,I101)</f>
        <v>47.93</v>
      </c>
      <c r="K101" s="122" t="n">
        <f aca="false">5*H101</f>
        <v>100</v>
      </c>
      <c r="L101" s="122" t="n">
        <f aca="false">'Field capacity and SPT density'!$U$20</f>
        <v>1.69069138488979</v>
      </c>
      <c r="M101" s="122" t="n">
        <f aca="false">J101+K101*L101</f>
        <v>216.999138488979</v>
      </c>
      <c r="N101" s="122" t="n">
        <f aca="false">M101-H101-G101</f>
        <v>174.739138488979</v>
      </c>
      <c r="O101" s="122" t="n">
        <f aca="false">(N101/$G$8)</f>
        <v>109.211961555612</v>
      </c>
      <c r="P101" s="122" t="n">
        <f aca="false">H101/2.65</f>
        <v>7.54716981132076</v>
      </c>
      <c r="Q101" s="122" t="n">
        <f aca="false">O101+P101</f>
        <v>116.759131366933</v>
      </c>
      <c r="R101" s="165" t="n">
        <f aca="false">F101*Q101</f>
        <v>0</v>
      </c>
      <c r="S101" s="166" t="n">
        <f aca="false">ROUND(R101/$G$9,0)</f>
        <v>0</v>
      </c>
      <c r="T101" s="167" t="n">
        <f aca="false">INT(S101/60)+(MOD(S101,60)/100)</f>
        <v>0</v>
      </c>
      <c r="U101" s="48"/>
    </row>
    <row r="102" customFormat="false" ht="14.1" hidden="false" customHeight="true" outlineLevel="0" collapsed="false">
      <c r="B102" s="46"/>
      <c r="C102" s="50"/>
      <c r="D102" s="50"/>
      <c r="E102" s="57" t="s">
        <v>111</v>
      </c>
      <c r="F102" s="164" t="n">
        <v>50</v>
      </c>
      <c r="G102" s="121" t="n">
        <v>22.26</v>
      </c>
      <c r="H102" s="164" t="n">
        <v>20</v>
      </c>
      <c r="I102" s="164" t="n">
        <v>5.67</v>
      </c>
      <c r="J102" s="122" t="n">
        <f aca="false">SUM(G102,H102,I102)</f>
        <v>47.93</v>
      </c>
      <c r="K102" s="122" t="n">
        <f aca="false">5*H102</f>
        <v>100</v>
      </c>
      <c r="L102" s="122" t="n">
        <f aca="false">'Field capacity and SPT density'!$U$20</f>
        <v>1.69069138488979</v>
      </c>
      <c r="M102" s="122" t="n">
        <f aca="false">J102+K102*L102</f>
        <v>216.999138488979</v>
      </c>
      <c r="N102" s="122" t="n">
        <f aca="false">M102-H102-G102</f>
        <v>174.739138488979</v>
      </c>
      <c r="O102" s="122" t="n">
        <f aca="false">(N102/$G$8)</f>
        <v>109.211961555612</v>
      </c>
      <c r="P102" s="122" t="n">
        <f aca="false">H102/2.65</f>
        <v>7.54716981132076</v>
      </c>
      <c r="Q102" s="122" t="n">
        <f aca="false">O102+P102</f>
        <v>116.759131366933</v>
      </c>
      <c r="R102" s="165" t="n">
        <f aca="false">F102*Q102</f>
        <v>5837.95656834663</v>
      </c>
      <c r="S102" s="166" t="n">
        <f aca="false">ROUND(R102/$G$9,0)</f>
        <v>117</v>
      </c>
      <c r="T102" s="167" t="n">
        <f aca="false">INT(S102/60)+(MOD(S102,60)/100)</f>
        <v>1.57</v>
      </c>
      <c r="U102" s="48"/>
    </row>
    <row r="103" customFormat="false" ht="14.1" hidden="false" customHeight="true" outlineLevel="0" collapsed="false">
      <c r="B103" s="46"/>
      <c r="C103" s="50"/>
      <c r="D103" s="50"/>
      <c r="E103" s="57" t="s">
        <v>114</v>
      </c>
      <c r="F103" s="164" t="n">
        <v>0</v>
      </c>
      <c r="G103" s="121" t="n">
        <v>22.67</v>
      </c>
      <c r="H103" s="164" t="n">
        <v>20</v>
      </c>
      <c r="I103" s="164" t="n">
        <v>5.67</v>
      </c>
      <c r="J103" s="122" t="n">
        <f aca="false">SUM(G103,H103,I103)</f>
        <v>48.34</v>
      </c>
      <c r="K103" s="122" t="n">
        <f aca="false">5*H103</f>
        <v>100</v>
      </c>
      <c r="L103" s="122" t="n">
        <f aca="false">'Field capacity and SPT density'!$U$20</f>
        <v>1.69069138488979</v>
      </c>
      <c r="M103" s="122" t="n">
        <f aca="false">J103+K103*L103</f>
        <v>217.409138488979</v>
      </c>
      <c r="N103" s="122" t="n">
        <f aca="false">M103-H103-G103</f>
        <v>174.739138488979</v>
      </c>
      <c r="O103" s="122" t="n">
        <f aca="false">(N103/$G$8)</f>
        <v>109.211961555612</v>
      </c>
      <c r="P103" s="122" t="n">
        <f aca="false">H103/2.65</f>
        <v>7.54716981132076</v>
      </c>
      <c r="Q103" s="122" t="n">
        <f aca="false">O103+P103</f>
        <v>116.759131366933</v>
      </c>
      <c r="R103" s="165" t="n">
        <f aca="false">F103*Q103</f>
        <v>0</v>
      </c>
      <c r="S103" s="166" t="n">
        <f aca="false">ROUND(R103/$G$9,0)</f>
        <v>0</v>
      </c>
      <c r="T103" s="167" t="n">
        <f aca="false">INT(S103/60)+(MOD(S103,60)/100)</f>
        <v>0</v>
      </c>
      <c r="U103" s="48"/>
    </row>
    <row r="104" customFormat="false" ht="14.1" hidden="false" customHeight="true" outlineLevel="0" collapsed="false">
      <c r="B104" s="46"/>
      <c r="C104" s="50"/>
      <c r="D104" s="168"/>
      <c r="E104" s="169" t="s">
        <v>114</v>
      </c>
      <c r="F104" s="170" t="n">
        <v>50</v>
      </c>
      <c r="G104" s="171" t="n">
        <v>22.67</v>
      </c>
      <c r="H104" s="170" t="n">
        <v>20</v>
      </c>
      <c r="I104" s="170" t="n">
        <v>5.67</v>
      </c>
      <c r="J104" s="172" t="n">
        <f aca="false">SUM(G104,H104,I104)</f>
        <v>48.34</v>
      </c>
      <c r="K104" s="172" t="n">
        <f aca="false">5*H104</f>
        <v>100</v>
      </c>
      <c r="L104" s="172" t="n">
        <f aca="false">'Field capacity and SPT density'!$U$20</f>
        <v>1.69069138488979</v>
      </c>
      <c r="M104" s="172" t="n">
        <f aca="false">J104+K104*L104</f>
        <v>217.409138488979</v>
      </c>
      <c r="N104" s="172" t="n">
        <f aca="false">M104-H104-G104</f>
        <v>174.739138488979</v>
      </c>
      <c r="O104" s="172" t="n">
        <f aca="false">(N104/$G$8)</f>
        <v>109.211961555612</v>
      </c>
      <c r="P104" s="172" t="n">
        <f aca="false">H104/2.65</f>
        <v>7.54716981132076</v>
      </c>
      <c r="Q104" s="172" t="n">
        <f aca="false">O104+P104</f>
        <v>116.759131366933</v>
      </c>
      <c r="R104" s="173" t="n">
        <f aca="false">F104*Q104</f>
        <v>5837.95656834663</v>
      </c>
      <c r="S104" s="174" t="n">
        <f aca="false">ROUND(R104/$G$9,0)</f>
        <v>117</v>
      </c>
      <c r="T104" s="175" t="n">
        <f aca="false">INT(S104/60)+(MOD(S104,60)/100)</f>
        <v>1.57</v>
      </c>
      <c r="U104" s="48"/>
    </row>
    <row r="105" customFormat="false" ht="14.1" hidden="false" customHeight="true" outlineLevel="0" collapsed="false">
      <c r="B105" s="46"/>
      <c r="C105" s="50"/>
      <c r="D105" s="176" t="s">
        <v>159</v>
      </c>
      <c r="E105" s="177" t="s">
        <v>103</v>
      </c>
      <c r="F105" s="178" t="n">
        <v>0</v>
      </c>
      <c r="G105" s="179" t="n">
        <v>23.68</v>
      </c>
      <c r="H105" s="178" t="n">
        <v>20</v>
      </c>
      <c r="I105" s="180" t="n">
        <v>5.67</v>
      </c>
      <c r="J105" s="181" t="n">
        <f aca="false">SUM(G105,H105,I105)</f>
        <v>49.35</v>
      </c>
      <c r="K105" s="181" t="n">
        <f aca="false">5*H105</f>
        <v>100</v>
      </c>
      <c r="L105" s="181" t="n">
        <f aca="false">'Field capacity and SPT density'!$U$20</f>
        <v>1.69069138488979</v>
      </c>
      <c r="M105" s="181" t="n">
        <f aca="false">J105+K105*L105</f>
        <v>218.419138488979</v>
      </c>
      <c r="N105" s="181" t="n">
        <f aca="false">M105-H105-G105</f>
        <v>174.739138488979</v>
      </c>
      <c r="O105" s="181" t="n">
        <f aca="false">(N105/$G$8)</f>
        <v>109.211961555612</v>
      </c>
      <c r="P105" s="181" t="n">
        <f aca="false">H105/2.65</f>
        <v>7.54716981132076</v>
      </c>
      <c r="Q105" s="181" t="n">
        <f aca="false">O105+P105</f>
        <v>116.759131366933</v>
      </c>
      <c r="R105" s="182" t="n">
        <f aca="false">F105*Q105</f>
        <v>0</v>
      </c>
      <c r="S105" s="183" t="n">
        <f aca="false">ROUND(R105/$G$9,0)</f>
        <v>0</v>
      </c>
      <c r="T105" s="184" t="n">
        <f aca="false">INT(S105/60)+(MOD(S105,60)/100)</f>
        <v>0</v>
      </c>
      <c r="U105" s="48"/>
    </row>
    <row r="106" customFormat="false" ht="14.1" hidden="false" customHeight="true" outlineLevel="0" collapsed="false">
      <c r="B106" s="46"/>
      <c r="C106" s="50"/>
      <c r="D106" s="50"/>
      <c r="E106" s="57" t="s">
        <v>103</v>
      </c>
      <c r="F106" s="163" t="n">
        <v>50</v>
      </c>
      <c r="G106" s="121" t="n">
        <v>23.68</v>
      </c>
      <c r="H106" s="163" t="n">
        <v>20</v>
      </c>
      <c r="I106" s="164" t="n">
        <v>5.67</v>
      </c>
      <c r="J106" s="122" t="n">
        <f aca="false">SUM(G106,H106,I106)</f>
        <v>49.35</v>
      </c>
      <c r="K106" s="122" t="n">
        <f aca="false">5*H106</f>
        <v>100</v>
      </c>
      <c r="L106" s="122" t="n">
        <f aca="false">'Field capacity and SPT density'!$U$20</f>
        <v>1.69069138488979</v>
      </c>
      <c r="M106" s="122" t="n">
        <f aca="false">J106+K106*L106</f>
        <v>218.419138488979</v>
      </c>
      <c r="N106" s="122" t="n">
        <f aca="false">M106-H106-G106</f>
        <v>174.739138488979</v>
      </c>
      <c r="O106" s="122" t="n">
        <f aca="false">(N106/$G$8)</f>
        <v>109.211961555612</v>
      </c>
      <c r="P106" s="122" t="n">
        <f aca="false">H106/2.65</f>
        <v>7.54716981132076</v>
      </c>
      <c r="Q106" s="122" t="n">
        <f aca="false">O106+P106</f>
        <v>116.759131366933</v>
      </c>
      <c r="R106" s="165" t="n">
        <f aca="false">F106*Q106</f>
        <v>5837.95656834663</v>
      </c>
      <c r="S106" s="166" t="n">
        <f aca="false">ROUND(R106/$G$9,0)</f>
        <v>117</v>
      </c>
      <c r="T106" s="167" t="n">
        <f aca="false">INT(S106/60)+(MOD(S106,60)/100)</f>
        <v>1.57</v>
      </c>
      <c r="U106" s="48"/>
    </row>
    <row r="107" customFormat="false" ht="14.1" hidden="false" customHeight="true" outlineLevel="0" collapsed="false">
      <c r="B107" s="46"/>
      <c r="C107" s="50"/>
      <c r="D107" s="50"/>
      <c r="E107" s="57" t="s">
        <v>105</v>
      </c>
      <c r="F107" s="163" t="n">
        <v>0</v>
      </c>
      <c r="G107" s="121" t="n">
        <v>25.12</v>
      </c>
      <c r="H107" s="163" t="n">
        <v>20</v>
      </c>
      <c r="I107" s="164" t="n">
        <v>5.67</v>
      </c>
      <c r="J107" s="122" t="n">
        <f aca="false">SUM(G107,H107,I107)</f>
        <v>50.79</v>
      </c>
      <c r="K107" s="122" t="n">
        <f aca="false">5*H107</f>
        <v>100</v>
      </c>
      <c r="L107" s="122" t="n">
        <f aca="false">'Field capacity and SPT density'!$U$20</f>
        <v>1.69069138488979</v>
      </c>
      <c r="M107" s="122" t="n">
        <f aca="false">J107+K107*L107</f>
        <v>219.859138488979</v>
      </c>
      <c r="N107" s="122" t="n">
        <f aca="false">M107-H107-G107</f>
        <v>174.739138488979</v>
      </c>
      <c r="O107" s="122" t="n">
        <f aca="false">(N107/$G$8)</f>
        <v>109.211961555612</v>
      </c>
      <c r="P107" s="122" t="n">
        <f aca="false">H107/2.65</f>
        <v>7.54716981132076</v>
      </c>
      <c r="Q107" s="122" t="n">
        <f aca="false">O107+P107</f>
        <v>116.759131366933</v>
      </c>
      <c r="R107" s="165" t="n">
        <f aca="false">F107*Q107</f>
        <v>0</v>
      </c>
      <c r="S107" s="166" t="n">
        <f aca="false">ROUND(R107/$G$9,0)</f>
        <v>0</v>
      </c>
      <c r="T107" s="167" t="n">
        <f aca="false">INT(S107/60)+(MOD(S107,60)/100)</f>
        <v>0</v>
      </c>
      <c r="U107" s="48"/>
    </row>
    <row r="108" customFormat="false" ht="14.1" hidden="false" customHeight="true" outlineLevel="0" collapsed="false">
      <c r="B108" s="46"/>
      <c r="C108" s="50"/>
      <c r="D108" s="50"/>
      <c r="E108" s="57" t="s">
        <v>105</v>
      </c>
      <c r="F108" s="164" t="n">
        <v>50</v>
      </c>
      <c r="G108" s="121" t="n">
        <v>25.12</v>
      </c>
      <c r="H108" s="164" t="n">
        <v>20</v>
      </c>
      <c r="I108" s="164" t="n">
        <v>5.67</v>
      </c>
      <c r="J108" s="122" t="n">
        <f aca="false">SUM(G108,H108,I108)</f>
        <v>50.79</v>
      </c>
      <c r="K108" s="122" t="n">
        <f aca="false">5*H108</f>
        <v>100</v>
      </c>
      <c r="L108" s="122" t="n">
        <f aca="false">'Field capacity and SPT density'!$U$20</f>
        <v>1.69069138488979</v>
      </c>
      <c r="M108" s="122" t="n">
        <f aca="false">J108+K108*L108</f>
        <v>219.859138488979</v>
      </c>
      <c r="N108" s="122" t="n">
        <f aca="false">M108-H108-G108</f>
        <v>174.739138488979</v>
      </c>
      <c r="O108" s="122" t="n">
        <f aca="false">(N108/$G$8)</f>
        <v>109.211961555612</v>
      </c>
      <c r="P108" s="122" t="n">
        <f aca="false">H108/2.65</f>
        <v>7.54716981132076</v>
      </c>
      <c r="Q108" s="122" t="n">
        <f aca="false">O108+P108</f>
        <v>116.759131366933</v>
      </c>
      <c r="R108" s="165" t="n">
        <f aca="false">F108*Q108</f>
        <v>5837.95656834663</v>
      </c>
      <c r="S108" s="166" t="n">
        <f aca="false">ROUND(R108/$G$9,0)</f>
        <v>117</v>
      </c>
      <c r="T108" s="167" t="n">
        <f aca="false">INT(S108/60)+(MOD(S108,60)/100)</f>
        <v>1.57</v>
      </c>
      <c r="U108" s="48"/>
    </row>
    <row r="109" customFormat="false" ht="14.1" hidden="false" customHeight="true" outlineLevel="0" collapsed="false">
      <c r="B109" s="46"/>
      <c r="C109" s="50"/>
      <c r="D109" s="50"/>
      <c r="E109" s="57" t="s">
        <v>108</v>
      </c>
      <c r="F109" s="164" t="n">
        <v>0</v>
      </c>
      <c r="G109" s="121" t="n">
        <v>23.67</v>
      </c>
      <c r="H109" s="164" t="n">
        <v>20</v>
      </c>
      <c r="I109" s="164" t="n">
        <v>5.67</v>
      </c>
      <c r="J109" s="122" t="n">
        <f aca="false">SUM(G109,H109,I109)</f>
        <v>49.34</v>
      </c>
      <c r="K109" s="122" t="n">
        <f aca="false">5*H109</f>
        <v>100</v>
      </c>
      <c r="L109" s="122" t="n">
        <f aca="false">'Field capacity and SPT density'!$U$20</f>
        <v>1.69069138488979</v>
      </c>
      <c r="M109" s="122" t="n">
        <f aca="false">J109+K109*L109</f>
        <v>218.409138488979</v>
      </c>
      <c r="N109" s="122" t="n">
        <f aca="false">M109-H109-G109</f>
        <v>174.739138488979</v>
      </c>
      <c r="O109" s="122" t="n">
        <f aca="false">(N109/$G$8)</f>
        <v>109.211961555612</v>
      </c>
      <c r="P109" s="122" t="n">
        <f aca="false">H109/2.65</f>
        <v>7.54716981132076</v>
      </c>
      <c r="Q109" s="122" t="n">
        <f aca="false">O109+P109</f>
        <v>116.759131366933</v>
      </c>
      <c r="R109" s="165" t="n">
        <f aca="false">F109*Q109</f>
        <v>0</v>
      </c>
      <c r="S109" s="166" t="n">
        <f aca="false">ROUND(R109/$G$9,0)</f>
        <v>0</v>
      </c>
      <c r="T109" s="167" t="n">
        <f aca="false">INT(S109/60)+(MOD(S109,60)/100)</f>
        <v>0</v>
      </c>
      <c r="U109" s="48"/>
    </row>
    <row r="110" customFormat="false" ht="14.1" hidden="false" customHeight="true" outlineLevel="0" collapsed="false">
      <c r="B110" s="46"/>
      <c r="C110" s="50"/>
      <c r="D110" s="50"/>
      <c r="E110" s="57" t="s">
        <v>108</v>
      </c>
      <c r="F110" s="164" t="n">
        <v>50</v>
      </c>
      <c r="G110" s="121" t="n">
        <v>23.67</v>
      </c>
      <c r="H110" s="164" t="n">
        <v>20</v>
      </c>
      <c r="I110" s="164" t="n">
        <v>5.67</v>
      </c>
      <c r="J110" s="122" t="n">
        <f aca="false">SUM(G110,H110,I110)</f>
        <v>49.34</v>
      </c>
      <c r="K110" s="122" t="n">
        <f aca="false">5*H110</f>
        <v>100</v>
      </c>
      <c r="L110" s="122" t="n">
        <f aca="false">'Field capacity and SPT density'!$U$20</f>
        <v>1.69069138488979</v>
      </c>
      <c r="M110" s="122" t="n">
        <f aca="false">J110+K110*L110</f>
        <v>218.409138488979</v>
      </c>
      <c r="N110" s="122" t="n">
        <f aca="false">M110-H110-G110</f>
        <v>174.739138488979</v>
      </c>
      <c r="O110" s="122" t="n">
        <f aca="false">(N110/$G$8)</f>
        <v>109.211961555612</v>
      </c>
      <c r="P110" s="122" t="n">
        <f aca="false">H110/2.65</f>
        <v>7.54716981132076</v>
      </c>
      <c r="Q110" s="122" t="n">
        <f aca="false">O110+P110</f>
        <v>116.759131366933</v>
      </c>
      <c r="R110" s="165" t="n">
        <f aca="false">F110*Q110</f>
        <v>5837.95656834663</v>
      </c>
      <c r="S110" s="166" t="n">
        <f aca="false">ROUND(R110/$G$9,0)</f>
        <v>117</v>
      </c>
      <c r="T110" s="167" t="n">
        <f aca="false">INT(S110/60)+(MOD(S110,60)/100)</f>
        <v>1.57</v>
      </c>
      <c r="U110" s="48"/>
    </row>
    <row r="111" customFormat="false" ht="14.1" hidden="false" customHeight="true" outlineLevel="0" collapsed="false">
      <c r="B111" s="46"/>
      <c r="C111" s="50"/>
      <c r="D111" s="50"/>
      <c r="E111" s="57" t="s">
        <v>111</v>
      </c>
      <c r="F111" s="164" t="n">
        <v>0</v>
      </c>
      <c r="G111" s="121" t="n">
        <v>23.83</v>
      </c>
      <c r="H111" s="164" t="n">
        <v>20</v>
      </c>
      <c r="I111" s="164" t="n">
        <v>5.67</v>
      </c>
      <c r="J111" s="122" t="n">
        <f aca="false">SUM(G111,H111,I111)</f>
        <v>49.5</v>
      </c>
      <c r="K111" s="122" t="n">
        <f aca="false">5*H111</f>
        <v>100</v>
      </c>
      <c r="L111" s="122" t="n">
        <f aca="false">'Field capacity and SPT density'!$U$20</f>
        <v>1.69069138488979</v>
      </c>
      <c r="M111" s="122" t="n">
        <f aca="false">J111+K111*L111</f>
        <v>218.569138488979</v>
      </c>
      <c r="N111" s="122" t="n">
        <f aca="false">M111-H111-G111</f>
        <v>174.739138488979</v>
      </c>
      <c r="O111" s="122" t="n">
        <f aca="false">(N111/$G$8)</f>
        <v>109.211961555612</v>
      </c>
      <c r="P111" s="122" t="n">
        <f aca="false">H111/2.65</f>
        <v>7.54716981132076</v>
      </c>
      <c r="Q111" s="122" t="n">
        <f aca="false">O111+P111</f>
        <v>116.759131366933</v>
      </c>
      <c r="R111" s="165" t="n">
        <f aca="false">F111*Q111</f>
        <v>0</v>
      </c>
      <c r="S111" s="166" t="n">
        <f aca="false">ROUND(R111/$G$9,0)</f>
        <v>0</v>
      </c>
      <c r="T111" s="167" t="n">
        <f aca="false">INT(S111/60)+(MOD(S111,60)/100)</f>
        <v>0</v>
      </c>
      <c r="U111" s="48"/>
    </row>
    <row r="112" customFormat="false" ht="14.1" hidden="false" customHeight="true" outlineLevel="0" collapsed="false">
      <c r="B112" s="46"/>
      <c r="C112" s="50"/>
      <c r="D112" s="50"/>
      <c r="E112" s="57" t="s">
        <v>111</v>
      </c>
      <c r="F112" s="164" t="n">
        <v>50</v>
      </c>
      <c r="G112" s="121" t="n">
        <v>23.83</v>
      </c>
      <c r="H112" s="164" t="n">
        <v>20</v>
      </c>
      <c r="I112" s="164" t="n">
        <v>5.67</v>
      </c>
      <c r="J112" s="122" t="n">
        <f aca="false">SUM(G112,H112,I112)</f>
        <v>49.5</v>
      </c>
      <c r="K112" s="122" t="n">
        <f aca="false">5*H112</f>
        <v>100</v>
      </c>
      <c r="L112" s="122" t="n">
        <f aca="false">'Field capacity and SPT density'!$U$20</f>
        <v>1.69069138488979</v>
      </c>
      <c r="M112" s="122" t="n">
        <f aca="false">J112+K112*L112</f>
        <v>218.569138488979</v>
      </c>
      <c r="N112" s="122" t="n">
        <f aca="false">M112-H112-G112</f>
        <v>174.739138488979</v>
      </c>
      <c r="O112" s="122" t="n">
        <f aca="false">(N112/$G$8)</f>
        <v>109.211961555612</v>
      </c>
      <c r="P112" s="122" t="n">
        <f aca="false">H112/2.65</f>
        <v>7.54716981132076</v>
      </c>
      <c r="Q112" s="122" t="n">
        <f aca="false">O112+P112</f>
        <v>116.759131366933</v>
      </c>
      <c r="R112" s="165" t="n">
        <f aca="false">F112*Q112</f>
        <v>5837.95656834663</v>
      </c>
      <c r="S112" s="166" t="n">
        <f aca="false">ROUND(R112/$G$9,0)</f>
        <v>117</v>
      </c>
      <c r="T112" s="167" t="n">
        <f aca="false">INT(S112/60)+(MOD(S112,60)/100)</f>
        <v>1.57</v>
      </c>
      <c r="U112" s="48"/>
    </row>
    <row r="113" customFormat="false" ht="14.1" hidden="false" customHeight="true" outlineLevel="0" collapsed="false">
      <c r="B113" s="46"/>
      <c r="C113" s="50"/>
      <c r="D113" s="50"/>
      <c r="E113" s="57" t="s">
        <v>114</v>
      </c>
      <c r="F113" s="164" t="n">
        <v>0</v>
      </c>
      <c r="G113" s="121" t="n">
        <v>24.21</v>
      </c>
      <c r="H113" s="164" t="n">
        <v>20</v>
      </c>
      <c r="I113" s="164" t="n">
        <v>5.67</v>
      </c>
      <c r="J113" s="122" t="n">
        <f aca="false">SUM(G113,H113,I113)</f>
        <v>49.88</v>
      </c>
      <c r="K113" s="122" t="n">
        <f aca="false">5*H113</f>
        <v>100</v>
      </c>
      <c r="L113" s="122" t="n">
        <f aca="false">'Field capacity and SPT density'!$U$20</f>
        <v>1.69069138488979</v>
      </c>
      <c r="M113" s="122" t="n">
        <f aca="false">J113+K113*L113</f>
        <v>218.949138488979</v>
      </c>
      <c r="N113" s="122" t="n">
        <f aca="false">M113-H113-G113</f>
        <v>174.739138488979</v>
      </c>
      <c r="O113" s="122" t="n">
        <f aca="false">(N113/$G$8)</f>
        <v>109.211961555612</v>
      </c>
      <c r="P113" s="122" t="n">
        <f aca="false">H113/2.65</f>
        <v>7.54716981132076</v>
      </c>
      <c r="Q113" s="122" t="n">
        <f aca="false">O113+P113</f>
        <v>116.759131366933</v>
      </c>
      <c r="R113" s="165" t="n">
        <f aca="false">F113*Q113</f>
        <v>0</v>
      </c>
      <c r="S113" s="166" t="n">
        <f aca="false">ROUND(R113/$G$9,0)</f>
        <v>0</v>
      </c>
      <c r="T113" s="167" t="n">
        <f aca="false">INT(S113/60)+(MOD(S113,60)/100)</f>
        <v>0</v>
      </c>
      <c r="U113" s="48"/>
    </row>
    <row r="114" customFormat="false" ht="14.1" hidden="false" customHeight="true" outlineLevel="0" collapsed="false">
      <c r="B114" s="46"/>
      <c r="C114" s="50"/>
      <c r="D114" s="168"/>
      <c r="E114" s="169" t="s">
        <v>114</v>
      </c>
      <c r="F114" s="170" t="n">
        <v>50</v>
      </c>
      <c r="G114" s="171" t="n">
        <v>24.21</v>
      </c>
      <c r="H114" s="170" t="n">
        <v>20</v>
      </c>
      <c r="I114" s="170" t="n">
        <v>5.67</v>
      </c>
      <c r="J114" s="172" t="n">
        <f aca="false">SUM(G114,H114,I114)</f>
        <v>49.88</v>
      </c>
      <c r="K114" s="172" t="n">
        <f aca="false">5*H114</f>
        <v>100</v>
      </c>
      <c r="L114" s="172" t="n">
        <f aca="false">'Field capacity and SPT density'!$U$20</f>
        <v>1.69069138488979</v>
      </c>
      <c r="M114" s="172" t="n">
        <f aca="false">J114+K114*L114</f>
        <v>218.949138488979</v>
      </c>
      <c r="N114" s="172" t="n">
        <f aca="false">M114-H114-G114</f>
        <v>174.739138488979</v>
      </c>
      <c r="O114" s="172" t="n">
        <f aca="false">(N114/$G$8)</f>
        <v>109.211961555612</v>
      </c>
      <c r="P114" s="172" t="n">
        <f aca="false">H114/2.65</f>
        <v>7.54716981132076</v>
      </c>
      <c r="Q114" s="172" t="n">
        <f aca="false">O114+P114</f>
        <v>116.759131366933</v>
      </c>
      <c r="R114" s="173" t="n">
        <f aca="false">F114*Q114</f>
        <v>5837.95656834663</v>
      </c>
      <c r="S114" s="174" t="n">
        <f aca="false">ROUND(R114/$G$9,0)</f>
        <v>117</v>
      </c>
      <c r="T114" s="175" t="n">
        <f aca="false">INT(S114/60)+(MOD(S114,60)/100)</f>
        <v>1.57</v>
      </c>
      <c r="U114" s="48"/>
    </row>
    <row r="115" customFormat="false" ht="14.1" hidden="false" customHeight="true" outlineLevel="0" collapsed="false">
      <c r="B115" s="46"/>
      <c r="C115" s="50"/>
      <c r="D115" s="176" t="s">
        <v>160</v>
      </c>
      <c r="E115" s="177" t="s">
        <v>103</v>
      </c>
      <c r="F115" s="178" t="n">
        <v>0</v>
      </c>
      <c r="G115" s="179" t="n">
        <v>23.02</v>
      </c>
      <c r="H115" s="178" t="n">
        <v>20</v>
      </c>
      <c r="I115" s="180" t="n">
        <v>5.67</v>
      </c>
      <c r="J115" s="181" t="n">
        <f aca="false">SUM(G115,H115,I115)</f>
        <v>48.69</v>
      </c>
      <c r="K115" s="181" t="n">
        <f aca="false">5*H115</f>
        <v>100</v>
      </c>
      <c r="L115" s="181" t="n">
        <f aca="false">'Field capacity and SPT density'!$U$20</f>
        <v>1.69069138488979</v>
      </c>
      <c r="M115" s="181" t="n">
        <f aca="false">J115+K115*L115</f>
        <v>217.759138488979</v>
      </c>
      <c r="N115" s="181" t="n">
        <f aca="false">M115-H115-G115</f>
        <v>174.739138488979</v>
      </c>
      <c r="O115" s="181" t="n">
        <f aca="false">(N115/$G$8)</f>
        <v>109.211961555612</v>
      </c>
      <c r="P115" s="181" t="n">
        <f aca="false">H115/2.65</f>
        <v>7.54716981132076</v>
      </c>
      <c r="Q115" s="181" t="n">
        <f aca="false">O115+P115</f>
        <v>116.759131366933</v>
      </c>
      <c r="R115" s="182" t="n">
        <f aca="false">F115*Q115</f>
        <v>0</v>
      </c>
      <c r="S115" s="183" t="n">
        <f aca="false">ROUND(R115/$G$9,0)</f>
        <v>0</v>
      </c>
      <c r="T115" s="184" t="n">
        <f aca="false">INT(S115/60)+(MOD(S115,60)/100)</f>
        <v>0</v>
      </c>
      <c r="U115" s="48"/>
    </row>
    <row r="116" customFormat="false" ht="14.1" hidden="false" customHeight="true" outlineLevel="0" collapsed="false">
      <c r="B116" s="46"/>
      <c r="C116" s="50"/>
      <c r="D116" s="50"/>
      <c r="E116" s="57" t="s">
        <v>103</v>
      </c>
      <c r="F116" s="163" t="n">
        <v>50</v>
      </c>
      <c r="G116" s="121" t="n">
        <v>23.02</v>
      </c>
      <c r="H116" s="163" t="n">
        <v>20</v>
      </c>
      <c r="I116" s="164" t="n">
        <v>5.67</v>
      </c>
      <c r="J116" s="122" t="n">
        <f aca="false">SUM(G116,H116,I116)</f>
        <v>48.69</v>
      </c>
      <c r="K116" s="122" t="n">
        <f aca="false">5*H116</f>
        <v>100</v>
      </c>
      <c r="L116" s="122" t="n">
        <f aca="false">'Field capacity and SPT density'!$U$20</f>
        <v>1.69069138488979</v>
      </c>
      <c r="M116" s="122" t="n">
        <f aca="false">J116+K116*L116</f>
        <v>217.759138488979</v>
      </c>
      <c r="N116" s="122" t="n">
        <f aca="false">M116-H116-G116</f>
        <v>174.739138488979</v>
      </c>
      <c r="O116" s="122" t="n">
        <f aca="false">(N116/$G$8)</f>
        <v>109.211961555612</v>
      </c>
      <c r="P116" s="122" t="n">
        <f aca="false">H116/2.65</f>
        <v>7.54716981132076</v>
      </c>
      <c r="Q116" s="122" t="n">
        <f aca="false">O116+P116</f>
        <v>116.759131366933</v>
      </c>
      <c r="R116" s="165" t="n">
        <f aca="false">F116*Q116</f>
        <v>5837.95656834663</v>
      </c>
      <c r="S116" s="166" t="n">
        <f aca="false">ROUND(R116/$G$9,0)</f>
        <v>117</v>
      </c>
      <c r="T116" s="167" t="n">
        <f aca="false">INT(S116/60)+(MOD(S116,60)/100)</f>
        <v>1.57</v>
      </c>
      <c r="U116" s="48"/>
    </row>
    <row r="117" customFormat="false" ht="14.1" hidden="false" customHeight="true" outlineLevel="0" collapsed="false">
      <c r="B117" s="46"/>
      <c r="C117" s="50"/>
      <c r="D117" s="50"/>
      <c r="E117" s="57" t="s">
        <v>105</v>
      </c>
      <c r="F117" s="163" t="n">
        <v>0</v>
      </c>
      <c r="G117" s="121" t="n">
        <v>22.9</v>
      </c>
      <c r="H117" s="163" t="n">
        <v>20</v>
      </c>
      <c r="I117" s="164" t="n">
        <v>5.67</v>
      </c>
      <c r="J117" s="122" t="n">
        <f aca="false">SUM(G117,H117,I117)</f>
        <v>48.57</v>
      </c>
      <c r="K117" s="122" t="n">
        <f aca="false">5*H117</f>
        <v>100</v>
      </c>
      <c r="L117" s="122" t="n">
        <f aca="false">'Field capacity and SPT density'!$U$20</f>
        <v>1.69069138488979</v>
      </c>
      <c r="M117" s="122" t="n">
        <f aca="false">J117+K117*L117</f>
        <v>217.639138488979</v>
      </c>
      <c r="N117" s="122" t="n">
        <f aca="false">M117-H117-G117</f>
        <v>174.739138488979</v>
      </c>
      <c r="O117" s="122" t="n">
        <f aca="false">(N117/$G$8)</f>
        <v>109.211961555612</v>
      </c>
      <c r="P117" s="122" t="n">
        <f aca="false">H117/2.65</f>
        <v>7.54716981132076</v>
      </c>
      <c r="Q117" s="122" t="n">
        <f aca="false">O117+P117</f>
        <v>116.759131366933</v>
      </c>
      <c r="R117" s="165" t="n">
        <f aca="false">F117*Q117</f>
        <v>0</v>
      </c>
      <c r="S117" s="166" t="n">
        <f aca="false">ROUND(R117/$G$9,0)</f>
        <v>0</v>
      </c>
      <c r="T117" s="167" t="n">
        <f aca="false">INT(S117/60)+(MOD(S117,60)/100)</f>
        <v>0</v>
      </c>
      <c r="U117" s="48"/>
    </row>
    <row r="118" customFormat="false" ht="14.1" hidden="false" customHeight="true" outlineLevel="0" collapsed="false">
      <c r="B118" s="46"/>
      <c r="C118" s="50"/>
      <c r="D118" s="50"/>
      <c r="E118" s="57" t="s">
        <v>105</v>
      </c>
      <c r="F118" s="164" t="n">
        <v>50</v>
      </c>
      <c r="G118" s="121" t="n">
        <v>22.9</v>
      </c>
      <c r="H118" s="164" t="n">
        <v>20</v>
      </c>
      <c r="I118" s="164" t="n">
        <v>5.67</v>
      </c>
      <c r="J118" s="122" t="n">
        <f aca="false">SUM(G118,H118,I118)</f>
        <v>48.57</v>
      </c>
      <c r="K118" s="122" t="n">
        <f aca="false">5*H118</f>
        <v>100</v>
      </c>
      <c r="L118" s="122" t="n">
        <f aca="false">'Field capacity and SPT density'!$U$20</f>
        <v>1.69069138488979</v>
      </c>
      <c r="M118" s="122" t="n">
        <f aca="false">J118+K118*L118</f>
        <v>217.639138488979</v>
      </c>
      <c r="N118" s="122" t="n">
        <f aca="false">M118-H118-G118</f>
        <v>174.739138488979</v>
      </c>
      <c r="O118" s="122" t="n">
        <f aca="false">(N118/$G$8)</f>
        <v>109.211961555612</v>
      </c>
      <c r="P118" s="122" t="n">
        <f aca="false">H118/2.65</f>
        <v>7.54716981132076</v>
      </c>
      <c r="Q118" s="122" t="n">
        <f aca="false">O118+P118</f>
        <v>116.759131366933</v>
      </c>
      <c r="R118" s="165" t="n">
        <f aca="false">F118*Q118</f>
        <v>5837.95656834663</v>
      </c>
      <c r="S118" s="166" t="n">
        <f aca="false">ROUND(R118/$G$9,0)</f>
        <v>117</v>
      </c>
      <c r="T118" s="167" t="n">
        <f aca="false">INT(S118/60)+(MOD(S118,60)/100)</f>
        <v>1.57</v>
      </c>
      <c r="U118" s="48"/>
    </row>
    <row r="119" customFormat="false" ht="14.1" hidden="false" customHeight="true" outlineLevel="0" collapsed="false">
      <c r="B119" s="46"/>
      <c r="C119" s="50"/>
      <c r="D119" s="50"/>
      <c r="E119" s="57" t="s">
        <v>108</v>
      </c>
      <c r="F119" s="164" t="n">
        <v>0</v>
      </c>
      <c r="G119" s="121" t="n">
        <v>22.29</v>
      </c>
      <c r="H119" s="164" t="n">
        <v>20</v>
      </c>
      <c r="I119" s="164" t="n">
        <v>5.67</v>
      </c>
      <c r="J119" s="122" t="n">
        <f aca="false">SUM(G119,H119,I119)</f>
        <v>47.96</v>
      </c>
      <c r="K119" s="122" t="n">
        <f aca="false">5*H119</f>
        <v>100</v>
      </c>
      <c r="L119" s="122" t="n">
        <f aca="false">'Field capacity and SPT density'!$U$20</f>
        <v>1.69069138488979</v>
      </c>
      <c r="M119" s="122" t="n">
        <f aca="false">J119+K119*L119</f>
        <v>217.029138488979</v>
      </c>
      <c r="N119" s="122" t="n">
        <f aca="false">M119-H119-G119</f>
        <v>174.739138488979</v>
      </c>
      <c r="O119" s="122" t="n">
        <f aca="false">(N119/$G$8)</f>
        <v>109.211961555612</v>
      </c>
      <c r="P119" s="122" t="n">
        <f aca="false">H119/2.65</f>
        <v>7.54716981132076</v>
      </c>
      <c r="Q119" s="122" t="n">
        <f aca="false">O119+P119</f>
        <v>116.759131366933</v>
      </c>
      <c r="R119" s="165" t="n">
        <f aca="false">F119*Q119</f>
        <v>0</v>
      </c>
      <c r="S119" s="166" t="n">
        <f aca="false">ROUND(R119/$G$9,0)</f>
        <v>0</v>
      </c>
      <c r="T119" s="167" t="n">
        <f aca="false">INT(S119/60)+(MOD(S119,60)/100)</f>
        <v>0</v>
      </c>
      <c r="U119" s="48"/>
    </row>
    <row r="120" customFormat="false" ht="14.1" hidden="false" customHeight="true" outlineLevel="0" collapsed="false">
      <c r="B120" s="46"/>
      <c r="C120" s="50"/>
      <c r="D120" s="50"/>
      <c r="E120" s="57" t="s">
        <v>108</v>
      </c>
      <c r="F120" s="164" t="n">
        <v>50</v>
      </c>
      <c r="G120" s="121" t="n">
        <v>22.29</v>
      </c>
      <c r="H120" s="164" t="n">
        <v>20</v>
      </c>
      <c r="I120" s="164" t="n">
        <v>5.67</v>
      </c>
      <c r="J120" s="122" t="n">
        <f aca="false">SUM(G120,H120,I120)</f>
        <v>47.96</v>
      </c>
      <c r="K120" s="122" t="n">
        <f aca="false">5*H120</f>
        <v>100</v>
      </c>
      <c r="L120" s="122" t="n">
        <f aca="false">'Field capacity and SPT density'!$U$20</f>
        <v>1.69069138488979</v>
      </c>
      <c r="M120" s="122" t="n">
        <f aca="false">J120+K120*L120</f>
        <v>217.029138488979</v>
      </c>
      <c r="N120" s="122" t="n">
        <f aca="false">M120-H120-G120</f>
        <v>174.739138488979</v>
      </c>
      <c r="O120" s="122" t="n">
        <f aca="false">(N120/$G$8)</f>
        <v>109.211961555612</v>
      </c>
      <c r="P120" s="122" t="n">
        <f aca="false">H120/2.65</f>
        <v>7.54716981132076</v>
      </c>
      <c r="Q120" s="122" t="n">
        <f aca="false">O120+P120</f>
        <v>116.759131366933</v>
      </c>
      <c r="R120" s="165" t="n">
        <f aca="false">F120*Q120</f>
        <v>5837.95656834663</v>
      </c>
      <c r="S120" s="166" t="n">
        <f aca="false">ROUND(R120/$G$9,0)</f>
        <v>117</v>
      </c>
      <c r="T120" s="167" t="n">
        <f aca="false">INT(S120/60)+(MOD(S120,60)/100)</f>
        <v>1.57</v>
      </c>
      <c r="U120" s="48"/>
    </row>
    <row r="121" customFormat="false" ht="14.1" hidden="false" customHeight="true" outlineLevel="0" collapsed="false">
      <c r="B121" s="46"/>
      <c r="C121" s="50"/>
      <c r="D121" s="50"/>
      <c r="E121" s="57" t="s">
        <v>111</v>
      </c>
      <c r="F121" s="164" t="n">
        <v>0</v>
      </c>
      <c r="G121" s="121" t="n">
        <v>22.53</v>
      </c>
      <c r="H121" s="164" t="n">
        <v>20</v>
      </c>
      <c r="I121" s="164" t="n">
        <v>5.67</v>
      </c>
      <c r="J121" s="122" t="n">
        <f aca="false">SUM(G121,H121,I121)</f>
        <v>48.2</v>
      </c>
      <c r="K121" s="122" t="n">
        <f aca="false">5*H121</f>
        <v>100</v>
      </c>
      <c r="L121" s="122" t="n">
        <f aca="false">'Field capacity and SPT density'!$U$20</f>
        <v>1.69069138488979</v>
      </c>
      <c r="M121" s="122" t="n">
        <f aca="false">J121+K121*L121</f>
        <v>217.269138488979</v>
      </c>
      <c r="N121" s="122" t="n">
        <f aca="false">M121-H121-G121</f>
        <v>174.739138488979</v>
      </c>
      <c r="O121" s="122" t="n">
        <f aca="false">(N121/$G$8)</f>
        <v>109.211961555612</v>
      </c>
      <c r="P121" s="122" t="n">
        <f aca="false">H121/2.65</f>
        <v>7.54716981132076</v>
      </c>
      <c r="Q121" s="122" t="n">
        <f aca="false">O121+P121</f>
        <v>116.759131366933</v>
      </c>
      <c r="R121" s="165" t="n">
        <f aca="false">F121*Q121</f>
        <v>0</v>
      </c>
      <c r="S121" s="166" t="n">
        <f aca="false">ROUND(R121/$G$9,0)</f>
        <v>0</v>
      </c>
      <c r="T121" s="167" t="n">
        <f aca="false">INT(S121/60)+(MOD(S121,60)/100)</f>
        <v>0</v>
      </c>
      <c r="U121" s="48"/>
    </row>
    <row r="122" customFormat="false" ht="14.1" hidden="false" customHeight="true" outlineLevel="0" collapsed="false">
      <c r="B122" s="46"/>
      <c r="C122" s="50"/>
      <c r="D122" s="50"/>
      <c r="E122" s="57" t="s">
        <v>111</v>
      </c>
      <c r="F122" s="164" t="n">
        <v>50</v>
      </c>
      <c r="G122" s="121" t="n">
        <v>22.53</v>
      </c>
      <c r="H122" s="164" t="n">
        <v>20</v>
      </c>
      <c r="I122" s="164" t="n">
        <v>5.67</v>
      </c>
      <c r="J122" s="122" t="n">
        <f aca="false">SUM(G122,H122,I122)</f>
        <v>48.2</v>
      </c>
      <c r="K122" s="122" t="n">
        <f aca="false">5*H122</f>
        <v>100</v>
      </c>
      <c r="L122" s="122" t="n">
        <f aca="false">'Field capacity and SPT density'!$U$20</f>
        <v>1.69069138488979</v>
      </c>
      <c r="M122" s="122" t="n">
        <f aca="false">J122+K122*L122</f>
        <v>217.269138488979</v>
      </c>
      <c r="N122" s="122" t="n">
        <f aca="false">M122-H122-G122</f>
        <v>174.739138488979</v>
      </c>
      <c r="O122" s="122" t="n">
        <f aca="false">(N122/$G$8)</f>
        <v>109.211961555612</v>
      </c>
      <c r="P122" s="122" t="n">
        <f aca="false">H122/2.65</f>
        <v>7.54716981132076</v>
      </c>
      <c r="Q122" s="122" t="n">
        <f aca="false">O122+P122</f>
        <v>116.759131366933</v>
      </c>
      <c r="R122" s="165" t="n">
        <f aca="false">F122*Q122</f>
        <v>5837.95656834663</v>
      </c>
      <c r="S122" s="166" t="n">
        <f aca="false">ROUND(R122/$G$9,0)</f>
        <v>117</v>
      </c>
      <c r="T122" s="167" t="n">
        <f aca="false">INT(S122/60)+(MOD(S122,60)/100)</f>
        <v>1.57</v>
      </c>
      <c r="U122" s="48"/>
    </row>
    <row r="123" customFormat="false" ht="14.1" hidden="false" customHeight="true" outlineLevel="0" collapsed="false">
      <c r="B123" s="46"/>
      <c r="C123" s="50"/>
      <c r="D123" s="50"/>
      <c r="E123" s="57" t="s">
        <v>114</v>
      </c>
      <c r="F123" s="164" t="n">
        <v>0</v>
      </c>
      <c r="G123" s="121" t="n">
        <v>23.96</v>
      </c>
      <c r="H123" s="164" t="n">
        <v>20</v>
      </c>
      <c r="I123" s="164" t="n">
        <v>5.67</v>
      </c>
      <c r="J123" s="122" t="n">
        <f aca="false">SUM(G123,H123,I123)</f>
        <v>49.63</v>
      </c>
      <c r="K123" s="122" t="n">
        <f aca="false">5*H123</f>
        <v>100</v>
      </c>
      <c r="L123" s="122" t="n">
        <f aca="false">'Field capacity and SPT density'!$U$20</f>
        <v>1.69069138488979</v>
      </c>
      <c r="M123" s="122" t="n">
        <f aca="false">J123+K123*L123</f>
        <v>218.699138488979</v>
      </c>
      <c r="N123" s="122" t="n">
        <f aca="false">M123-H123-G123</f>
        <v>174.739138488979</v>
      </c>
      <c r="O123" s="122" t="n">
        <f aca="false">(N123/$G$8)</f>
        <v>109.211961555612</v>
      </c>
      <c r="P123" s="122" t="n">
        <f aca="false">H123/2.65</f>
        <v>7.54716981132076</v>
      </c>
      <c r="Q123" s="122" t="n">
        <f aca="false">O123+P123</f>
        <v>116.759131366933</v>
      </c>
      <c r="R123" s="165" t="n">
        <f aca="false">F123*Q123</f>
        <v>0</v>
      </c>
      <c r="S123" s="166" t="n">
        <f aca="false">ROUND(R123/$G$9,0)</f>
        <v>0</v>
      </c>
      <c r="T123" s="167" t="n">
        <f aca="false">INT(S123/60)+(MOD(S123,60)/100)</f>
        <v>0</v>
      </c>
      <c r="U123" s="48"/>
    </row>
    <row r="124" customFormat="false" ht="14.1" hidden="false" customHeight="true" outlineLevel="0" collapsed="false">
      <c r="B124" s="46"/>
      <c r="C124" s="50"/>
      <c r="D124" s="168"/>
      <c r="E124" s="169" t="s">
        <v>114</v>
      </c>
      <c r="F124" s="170" t="n">
        <v>50</v>
      </c>
      <c r="G124" s="171" t="n">
        <v>23.96</v>
      </c>
      <c r="H124" s="170" t="n">
        <v>20</v>
      </c>
      <c r="I124" s="170" t="n">
        <v>5.67</v>
      </c>
      <c r="J124" s="172" t="n">
        <f aca="false">SUM(G124,H124,I124)</f>
        <v>49.63</v>
      </c>
      <c r="K124" s="172" t="n">
        <f aca="false">5*H124</f>
        <v>100</v>
      </c>
      <c r="L124" s="172" t="n">
        <f aca="false">'Field capacity and SPT density'!$U$20</f>
        <v>1.69069138488979</v>
      </c>
      <c r="M124" s="172" t="n">
        <f aca="false">J124+K124*L124</f>
        <v>218.699138488979</v>
      </c>
      <c r="N124" s="172" t="n">
        <f aca="false">M124-H124-G124</f>
        <v>174.739138488979</v>
      </c>
      <c r="O124" s="172" t="n">
        <f aca="false">(N124/$G$8)</f>
        <v>109.211961555612</v>
      </c>
      <c r="P124" s="172" t="n">
        <f aca="false">H124/2.65</f>
        <v>7.54716981132076</v>
      </c>
      <c r="Q124" s="172" t="n">
        <f aca="false">O124+P124</f>
        <v>116.759131366933</v>
      </c>
      <c r="R124" s="173" t="n">
        <f aca="false">F124*Q124</f>
        <v>5837.95656834663</v>
      </c>
      <c r="S124" s="174" t="n">
        <f aca="false">ROUND(R124/$G$9,0)</f>
        <v>117</v>
      </c>
      <c r="T124" s="175" t="n">
        <f aca="false">INT(S124/60)+(MOD(S124,60)/100)</f>
        <v>1.57</v>
      </c>
      <c r="U124" s="48"/>
    </row>
    <row r="125" customFormat="false" ht="14.1" hidden="false" customHeight="true" outlineLevel="0" collapsed="false">
      <c r="B125" s="46"/>
      <c r="C125" s="50"/>
      <c r="D125" s="50" t="s">
        <v>161</v>
      </c>
      <c r="E125" s="57" t="s">
        <v>103</v>
      </c>
      <c r="F125" s="163" t="n">
        <v>0</v>
      </c>
      <c r="G125" s="121" t="n">
        <v>22.73</v>
      </c>
      <c r="H125" s="163" t="n">
        <v>20</v>
      </c>
      <c r="I125" s="164" t="n">
        <v>5.67</v>
      </c>
      <c r="J125" s="122" t="n">
        <f aca="false">SUM(G125,H125,I125)</f>
        <v>48.4</v>
      </c>
      <c r="K125" s="122" t="n">
        <f aca="false">5*H125</f>
        <v>100</v>
      </c>
      <c r="L125" s="122" t="n">
        <f aca="false">'Field capacity and SPT density'!$U$20</f>
        <v>1.69069138488979</v>
      </c>
      <c r="M125" s="122" t="n">
        <f aca="false">J125+K125*L125</f>
        <v>217.469138488979</v>
      </c>
      <c r="N125" s="122" t="n">
        <f aca="false">M125-H125-G125</f>
        <v>174.739138488979</v>
      </c>
      <c r="O125" s="122" t="n">
        <f aca="false">(N125/$G$8)</f>
        <v>109.211961555612</v>
      </c>
      <c r="P125" s="122" t="n">
        <f aca="false">H125/2.65</f>
        <v>7.54716981132076</v>
      </c>
      <c r="Q125" s="122" t="n">
        <f aca="false">O125+P125</f>
        <v>116.759131366933</v>
      </c>
      <c r="R125" s="165" t="n">
        <f aca="false">F125*Q125</f>
        <v>0</v>
      </c>
      <c r="S125" s="166" t="n">
        <f aca="false">ROUND(R125/$G$9,0)</f>
        <v>0</v>
      </c>
      <c r="T125" s="167" t="n">
        <f aca="false">INT(S125/60)+(MOD(S125,60)/100)</f>
        <v>0</v>
      </c>
      <c r="U125" s="48"/>
    </row>
    <row r="126" customFormat="false" ht="14.1" hidden="false" customHeight="true" outlineLevel="0" collapsed="false">
      <c r="B126" s="46"/>
      <c r="C126" s="50"/>
      <c r="D126" s="50"/>
      <c r="E126" s="57" t="s">
        <v>103</v>
      </c>
      <c r="F126" s="163" t="n">
        <v>50</v>
      </c>
      <c r="G126" s="121" t="n">
        <v>22.73</v>
      </c>
      <c r="H126" s="163" t="n">
        <v>20</v>
      </c>
      <c r="I126" s="164" t="n">
        <v>5.67</v>
      </c>
      <c r="J126" s="122" t="n">
        <f aca="false">SUM(G126,H126,I126)</f>
        <v>48.4</v>
      </c>
      <c r="K126" s="122" t="n">
        <f aca="false">5*H126</f>
        <v>100</v>
      </c>
      <c r="L126" s="122" t="n">
        <f aca="false">'Field capacity and SPT density'!$U$20</f>
        <v>1.69069138488979</v>
      </c>
      <c r="M126" s="122" t="n">
        <f aca="false">J126+K126*L126</f>
        <v>217.469138488979</v>
      </c>
      <c r="N126" s="122" t="n">
        <f aca="false">M126-H126-G126</f>
        <v>174.739138488979</v>
      </c>
      <c r="O126" s="122" t="n">
        <f aca="false">(N126/$G$8)</f>
        <v>109.211961555612</v>
      </c>
      <c r="P126" s="122" t="n">
        <f aca="false">H126/2.65</f>
        <v>7.54716981132076</v>
      </c>
      <c r="Q126" s="122" t="n">
        <f aca="false">O126+P126</f>
        <v>116.759131366933</v>
      </c>
      <c r="R126" s="165" t="n">
        <f aca="false">F126*Q126</f>
        <v>5837.95656834663</v>
      </c>
      <c r="S126" s="166" t="n">
        <f aca="false">ROUND(R126/$G$9,0)</f>
        <v>117</v>
      </c>
      <c r="T126" s="167" t="n">
        <f aca="false">INT(S126/60)+(MOD(S126,60)/100)</f>
        <v>1.57</v>
      </c>
      <c r="U126" s="48"/>
    </row>
    <row r="127" customFormat="false" ht="14.1" hidden="false" customHeight="true" outlineLevel="0" collapsed="false">
      <c r="B127" s="46"/>
      <c r="C127" s="50"/>
      <c r="D127" s="50"/>
      <c r="E127" s="57" t="s">
        <v>105</v>
      </c>
      <c r="F127" s="163" t="n">
        <v>0</v>
      </c>
      <c r="G127" s="121" t="n">
        <v>22.82</v>
      </c>
      <c r="H127" s="163" t="n">
        <v>20</v>
      </c>
      <c r="I127" s="164" t="n">
        <v>5.67</v>
      </c>
      <c r="J127" s="122" t="n">
        <f aca="false">SUM(G127,H127,I127)</f>
        <v>48.49</v>
      </c>
      <c r="K127" s="122" t="n">
        <f aca="false">5*H127</f>
        <v>100</v>
      </c>
      <c r="L127" s="122" t="n">
        <f aca="false">'Field capacity and SPT density'!$U$20</f>
        <v>1.69069138488979</v>
      </c>
      <c r="M127" s="122" t="n">
        <f aca="false">J127+K127*L127</f>
        <v>217.559138488979</v>
      </c>
      <c r="N127" s="122" t="n">
        <f aca="false">M127-H127-G127</f>
        <v>174.739138488979</v>
      </c>
      <c r="O127" s="122" t="n">
        <f aca="false">(N127/$G$8)</f>
        <v>109.211961555612</v>
      </c>
      <c r="P127" s="122" t="n">
        <f aca="false">H127/2.65</f>
        <v>7.54716981132076</v>
      </c>
      <c r="Q127" s="122" t="n">
        <f aca="false">O127+P127</f>
        <v>116.759131366933</v>
      </c>
      <c r="R127" s="165" t="n">
        <f aca="false">F127*Q127</f>
        <v>0</v>
      </c>
      <c r="S127" s="166" t="n">
        <f aca="false">ROUND(R127/$G$9,0)</f>
        <v>0</v>
      </c>
      <c r="T127" s="167" t="n">
        <f aca="false">INT(S127/60)+(MOD(S127,60)/100)</f>
        <v>0</v>
      </c>
      <c r="U127" s="48"/>
    </row>
    <row r="128" customFormat="false" ht="14.1" hidden="false" customHeight="true" outlineLevel="0" collapsed="false">
      <c r="B128" s="46"/>
      <c r="C128" s="50"/>
      <c r="D128" s="50"/>
      <c r="E128" s="57" t="s">
        <v>105</v>
      </c>
      <c r="F128" s="164" t="n">
        <v>50</v>
      </c>
      <c r="G128" s="121" t="n">
        <v>22.82</v>
      </c>
      <c r="H128" s="164" t="n">
        <v>20</v>
      </c>
      <c r="I128" s="164" t="n">
        <v>5.67</v>
      </c>
      <c r="J128" s="122" t="n">
        <f aca="false">SUM(G128,H128,I128)</f>
        <v>48.49</v>
      </c>
      <c r="K128" s="122" t="n">
        <f aca="false">5*H128</f>
        <v>100</v>
      </c>
      <c r="L128" s="122" t="n">
        <f aca="false">'Field capacity and SPT density'!$U$20</f>
        <v>1.69069138488979</v>
      </c>
      <c r="M128" s="122" t="n">
        <f aca="false">J128+K128*L128</f>
        <v>217.559138488979</v>
      </c>
      <c r="N128" s="122" t="n">
        <f aca="false">M128-H128-G128</f>
        <v>174.739138488979</v>
      </c>
      <c r="O128" s="122" t="n">
        <f aca="false">(N128/$G$8)</f>
        <v>109.211961555612</v>
      </c>
      <c r="P128" s="122" t="n">
        <f aca="false">H128/2.65</f>
        <v>7.54716981132076</v>
      </c>
      <c r="Q128" s="122" t="n">
        <f aca="false">O128+P128</f>
        <v>116.759131366933</v>
      </c>
      <c r="R128" s="165" t="n">
        <f aca="false">F128*Q128</f>
        <v>5837.95656834663</v>
      </c>
      <c r="S128" s="166" t="n">
        <f aca="false">ROUND(R128/$G$9,0)</f>
        <v>117</v>
      </c>
      <c r="T128" s="167" t="n">
        <f aca="false">INT(S128/60)+(MOD(S128,60)/100)</f>
        <v>1.57</v>
      </c>
      <c r="U128" s="48"/>
    </row>
    <row r="129" customFormat="false" ht="14.1" hidden="false" customHeight="true" outlineLevel="0" collapsed="false">
      <c r="B129" s="46"/>
      <c r="C129" s="50"/>
      <c r="D129" s="50"/>
      <c r="E129" s="57" t="s">
        <v>108</v>
      </c>
      <c r="F129" s="164" t="n">
        <v>0</v>
      </c>
      <c r="G129" s="121" t="n">
        <v>24.77</v>
      </c>
      <c r="H129" s="164" t="n">
        <v>20</v>
      </c>
      <c r="I129" s="164" t="n">
        <v>5.67</v>
      </c>
      <c r="J129" s="122" t="n">
        <f aca="false">SUM(G129,H129,I129)</f>
        <v>50.44</v>
      </c>
      <c r="K129" s="122" t="n">
        <f aca="false">5*H129</f>
        <v>100</v>
      </c>
      <c r="L129" s="122" t="n">
        <f aca="false">'Field capacity and SPT density'!$U$20</f>
        <v>1.69069138488979</v>
      </c>
      <c r="M129" s="122" t="n">
        <f aca="false">J129+K129*L129</f>
        <v>219.509138488979</v>
      </c>
      <c r="N129" s="122" t="n">
        <f aca="false">M129-H129-G129</f>
        <v>174.739138488979</v>
      </c>
      <c r="O129" s="122" t="n">
        <f aca="false">(N129/$G$8)</f>
        <v>109.211961555612</v>
      </c>
      <c r="P129" s="122" t="n">
        <f aca="false">H129/2.65</f>
        <v>7.54716981132076</v>
      </c>
      <c r="Q129" s="122" t="n">
        <f aca="false">O129+P129</f>
        <v>116.759131366933</v>
      </c>
      <c r="R129" s="165" t="n">
        <f aca="false">F129*Q129</f>
        <v>0</v>
      </c>
      <c r="S129" s="166" t="n">
        <f aca="false">ROUND(R129/$G$9,0)</f>
        <v>0</v>
      </c>
      <c r="T129" s="167" t="n">
        <f aca="false">INT(S129/60)+(MOD(S129,60)/100)</f>
        <v>0</v>
      </c>
      <c r="U129" s="48"/>
    </row>
    <row r="130" customFormat="false" ht="14.1" hidden="false" customHeight="true" outlineLevel="0" collapsed="false">
      <c r="B130" s="46"/>
      <c r="C130" s="50"/>
      <c r="D130" s="50"/>
      <c r="E130" s="57" t="s">
        <v>108</v>
      </c>
      <c r="F130" s="164" t="n">
        <v>50</v>
      </c>
      <c r="G130" s="121" t="n">
        <v>24.77</v>
      </c>
      <c r="H130" s="164" t="n">
        <v>20</v>
      </c>
      <c r="I130" s="164" t="n">
        <v>5.67</v>
      </c>
      <c r="J130" s="122" t="n">
        <f aca="false">SUM(G130,H130,I130)</f>
        <v>50.44</v>
      </c>
      <c r="K130" s="122" t="n">
        <f aca="false">5*H130</f>
        <v>100</v>
      </c>
      <c r="L130" s="122" t="n">
        <f aca="false">'Field capacity and SPT density'!$U$20</f>
        <v>1.69069138488979</v>
      </c>
      <c r="M130" s="122" t="n">
        <f aca="false">J130+K130*L130</f>
        <v>219.509138488979</v>
      </c>
      <c r="N130" s="122" t="n">
        <f aca="false">M130-H130-G130</f>
        <v>174.739138488979</v>
      </c>
      <c r="O130" s="122" t="n">
        <f aca="false">(N130/$G$8)</f>
        <v>109.211961555612</v>
      </c>
      <c r="P130" s="122" t="n">
        <f aca="false">H130/2.65</f>
        <v>7.54716981132076</v>
      </c>
      <c r="Q130" s="122" t="n">
        <f aca="false">O130+P130</f>
        <v>116.759131366933</v>
      </c>
      <c r="R130" s="165" t="n">
        <f aca="false">F130*Q130</f>
        <v>5837.95656834663</v>
      </c>
      <c r="S130" s="166" t="n">
        <f aca="false">ROUND(R130/$G$9,0)</f>
        <v>117</v>
      </c>
      <c r="T130" s="167" t="n">
        <f aca="false">INT(S130/60)+(MOD(S130,60)/100)</f>
        <v>1.57</v>
      </c>
      <c r="U130" s="48"/>
    </row>
    <row r="131" customFormat="false" ht="14.1" hidden="false" customHeight="true" outlineLevel="0" collapsed="false">
      <c r="B131" s="46"/>
      <c r="C131" s="50"/>
      <c r="D131" s="50"/>
      <c r="E131" s="57" t="s">
        <v>111</v>
      </c>
      <c r="F131" s="164" t="n">
        <v>0</v>
      </c>
      <c r="G131" s="121" t="n">
        <v>22.04</v>
      </c>
      <c r="H131" s="164" t="n">
        <v>20</v>
      </c>
      <c r="I131" s="164" t="n">
        <v>5.67</v>
      </c>
      <c r="J131" s="122" t="n">
        <f aca="false">SUM(G131,H131,I131)</f>
        <v>47.71</v>
      </c>
      <c r="K131" s="122" t="n">
        <f aca="false">5*H131</f>
        <v>100</v>
      </c>
      <c r="L131" s="122" t="n">
        <f aca="false">'Field capacity and SPT density'!$U$20</f>
        <v>1.69069138488979</v>
      </c>
      <c r="M131" s="122" t="n">
        <f aca="false">J131+K131*L131</f>
        <v>216.779138488979</v>
      </c>
      <c r="N131" s="122" t="n">
        <f aca="false">M131-H131-G131</f>
        <v>174.739138488979</v>
      </c>
      <c r="O131" s="122" t="n">
        <f aca="false">(N131/$G$8)</f>
        <v>109.211961555612</v>
      </c>
      <c r="P131" s="122" t="n">
        <f aca="false">H131/2.65</f>
        <v>7.54716981132076</v>
      </c>
      <c r="Q131" s="122" t="n">
        <f aca="false">O131+P131</f>
        <v>116.759131366933</v>
      </c>
      <c r="R131" s="165" t="n">
        <f aca="false">F131*Q131</f>
        <v>0</v>
      </c>
      <c r="S131" s="166" t="n">
        <f aca="false">ROUND(R131/$G$9,0)</f>
        <v>0</v>
      </c>
      <c r="T131" s="167" t="n">
        <f aca="false">INT(S131/60)+(MOD(S131,60)/100)</f>
        <v>0</v>
      </c>
      <c r="U131" s="48"/>
    </row>
    <row r="132" customFormat="false" ht="14.1" hidden="false" customHeight="true" outlineLevel="0" collapsed="false">
      <c r="B132" s="46"/>
      <c r="C132" s="50"/>
      <c r="D132" s="50"/>
      <c r="E132" s="57" t="s">
        <v>111</v>
      </c>
      <c r="F132" s="164" t="n">
        <v>50</v>
      </c>
      <c r="G132" s="121" t="n">
        <v>22.04</v>
      </c>
      <c r="H132" s="164" t="n">
        <v>20</v>
      </c>
      <c r="I132" s="164" t="n">
        <v>5.67</v>
      </c>
      <c r="J132" s="122" t="n">
        <f aca="false">SUM(G132,H132,I132)</f>
        <v>47.71</v>
      </c>
      <c r="K132" s="122" t="n">
        <f aca="false">5*H132</f>
        <v>100</v>
      </c>
      <c r="L132" s="122" t="n">
        <f aca="false">'Field capacity and SPT density'!$U$20</f>
        <v>1.69069138488979</v>
      </c>
      <c r="M132" s="122" t="n">
        <f aca="false">J132+K132*L132</f>
        <v>216.779138488979</v>
      </c>
      <c r="N132" s="122" t="n">
        <f aca="false">M132-H132-G132</f>
        <v>174.739138488979</v>
      </c>
      <c r="O132" s="122" t="n">
        <f aca="false">(N132/$G$8)</f>
        <v>109.211961555612</v>
      </c>
      <c r="P132" s="122" t="n">
        <f aca="false">H132/2.65</f>
        <v>7.54716981132076</v>
      </c>
      <c r="Q132" s="122" t="n">
        <f aca="false">O132+P132</f>
        <v>116.759131366933</v>
      </c>
      <c r="R132" s="165" t="n">
        <f aca="false">F132*Q132</f>
        <v>5837.95656834663</v>
      </c>
      <c r="S132" s="166" t="n">
        <f aca="false">ROUND(R132/$G$9,0)</f>
        <v>117</v>
      </c>
      <c r="T132" s="167" t="n">
        <f aca="false">INT(S132/60)+(MOD(S132,60)/100)</f>
        <v>1.57</v>
      </c>
      <c r="U132" s="48"/>
    </row>
    <row r="133" customFormat="false" ht="14.1" hidden="false" customHeight="true" outlineLevel="0" collapsed="false">
      <c r="B133" s="46"/>
      <c r="C133" s="50"/>
      <c r="D133" s="50"/>
      <c r="E133" s="57" t="s">
        <v>114</v>
      </c>
      <c r="F133" s="164" t="n">
        <v>0</v>
      </c>
      <c r="G133" s="121" t="n">
        <v>23.2</v>
      </c>
      <c r="H133" s="164" t="n">
        <v>20</v>
      </c>
      <c r="I133" s="164" t="n">
        <v>5.67</v>
      </c>
      <c r="J133" s="122" t="n">
        <f aca="false">SUM(G133,H133,I133)</f>
        <v>48.87</v>
      </c>
      <c r="K133" s="122" t="n">
        <f aca="false">5*H133</f>
        <v>100</v>
      </c>
      <c r="L133" s="122" t="n">
        <f aca="false">'Field capacity and SPT density'!$U$20</f>
        <v>1.69069138488979</v>
      </c>
      <c r="M133" s="122" t="n">
        <f aca="false">J133+K133*L133</f>
        <v>217.939138488979</v>
      </c>
      <c r="N133" s="122" t="n">
        <f aca="false">M133-H133-G133</f>
        <v>174.739138488979</v>
      </c>
      <c r="O133" s="122" t="n">
        <f aca="false">(N133/$G$8)</f>
        <v>109.211961555612</v>
      </c>
      <c r="P133" s="122" t="n">
        <f aca="false">H133/2.65</f>
        <v>7.54716981132076</v>
      </c>
      <c r="Q133" s="122" t="n">
        <f aca="false">O133+P133</f>
        <v>116.759131366933</v>
      </c>
      <c r="R133" s="165" t="n">
        <f aca="false">F133*Q133</f>
        <v>0</v>
      </c>
      <c r="S133" s="166" t="n">
        <f aca="false">ROUND(R133/$G$9,0)</f>
        <v>0</v>
      </c>
      <c r="T133" s="167" t="n">
        <f aca="false">INT(S133/60)+(MOD(S133,60)/100)</f>
        <v>0</v>
      </c>
      <c r="U133" s="48"/>
    </row>
    <row r="134" customFormat="false" ht="14.1" hidden="false" customHeight="true" outlineLevel="0" collapsed="false">
      <c r="B134" s="46"/>
      <c r="C134" s="50"/>
      <c r="D134" s="52"/>
      <c r="E134" s="191" t="s">
        <v>114</v>
      </c>
      <c r="F134" s="192" t="n">
        <v>50</v>
      </c>
      <c r="G134" s="193" t="n">
        <v>23.2</v>
      </c>
      <c r="H134" s="192" t="n">
        <v>20</v>
      </c>
      <c r="I134" s="192" t="n">
        <v>5.67</v>
      </c>
      <c r="J134" s="194" t="n">
        <f aca="false">SUM(G134,H134,I134)</f>
        <v>48.87</v>
      </c>
      <c r="K134" s="194" t="n">
        <f aca="false">5*H134</f>
        <v>100</v>
      </c>
      <c r="L134" s="194" t="n">
        <f aca="false">'Field capacity and SPT density'!$U$20</f>
        <v>1.69069138488979</v>
      </c>
      <c r="M134" s="194" t="n">
        <f aca="false">J134+K134*L134</f>
        <v>217.939138488979</v>
      </c>
      <c r="N134" s="194" t="n">
        <f aca="false">M134-H134-G134</f>
        <v>174.739138488979</v>
      </c>
      <c r="O134" s="194" t="n">
        <f aca="false">(N134/$G$8)</f>
        <v>109.211961555612</v>
      </c>
      <c r="P134" s="194" t="n">
        <f aca="false">H134/2.65</f>
        <v>7.54716981132076</v>
      </c>
      <c r="Q134" s="194" t="n">
        <f aca="false">O134+P134</f>
        <v>116.759131366933</v>
      </c>
      <c r="R134" s="195" t="n">
        <f aca="false">F134*Q134</f>
        <v>5837.95656834663</v>
      </c>
      <c r="S134" s="196" t="n">
        <f aca="false">ROUND(R134/$G$9,0)</f>
        <v>117</v>
      </c>
      <c r="T134" s="197" t="n">
        <f aca="false">INT(S134/60)+(MOD(S134,60)/100)</f>
        <v>1.57</v>
      </c>
      <c r="U134" s="48"/>
    </row>
    <row r="135" customFormat="false" ht="14.1" hidden="false" customHeight="true" outlineLevel="0" collapsed="false">
      <c r="B135" s="88"/>
      <c r="C135" s="198"/>
      <c r="D135" s="198"/>
      <c r="E135" s="198"/>
      <c r="F135" s="199"/>
      <c r="G135" s="89"/>
      <c r="H135" s="89"/>
      <c r="I135" s="89"/>
      <c r="J135" s="200"/>
      <c r="K135" s="200"/>
      <c r="L135" s="200"/>
      <c r="M135" s="200"/>
      <c r="N135" s="200"/>
      <c r="O135" s="200"/>
      <c r="P135" s="200"/>
      <c r="Q135" s="200"/>
      <c r="R135" s="201"/>
      <c r="S135" s="202"/>
      <c r="T135" s="203"/>
      <c r="U135" s="90"/>
    </row>
    <row r="136" customFormat="false" ht="14.1" hidden="false" customHeight="true" outlineLevel="0" collapsed="false">
      <c r="F136" s="204"/>
      <c r="S136" s="205"/>
      <c r="T136" s="206"/>
    </row>
    <row r="137" customFormat="false" ht="14.1" hidden="false" customHeight="true" outlineLevel="0" collapsed="false">
      <c r="F137" s="204"/>
      <c r="S137" s="205"/>
      <c r="T137" s="206"/>
    </row>
    <row r="138" customFormat="false" ht="14.1" hidden="false" customHeight="true" outlineLevel="0" collapsed="false">
      <c r="F138" s="204"/>
      <c r="S138" s="205"/>
      <c r="T138" s="206"/>
    </row>
    <row r="139" customFormat="false" ht="14.1" hidden="false" customHeight="true" outlineLevel="0" collapsed="false">
      <c r="F139" s="204"/>
      <c r="S139" s="205"/>
      <c r="T139" s="206"/>
    </row>
    <row r="140" customFormat="false" ht="14.1" hidden="false" customHeight="true" outlineLevel="0" collapsed="false">
      <c r="F140" s="204"/>
      <c r="S140" s="205"/>
      <c r="T140" s="206"/>
    </row>
    <row r="141" customFormat="false" ht="14.1" hidden="false" customHeight="true" outlineLevel="0" collapsed="false">
      <c r="F141" s="204"/>
      <c r="S141" s="205"/>
      <c r="T141" s="206"/>
    </row>
    <row r="142" customFormat="false" ht="14.1" hidden="false" customHeight="true" outlineLevel="0" collapsed="false">
      <c r="F142" s="204"/>
      <c r="S142" s="205"/>
      <c r="T142" s="206"/>
    </row>
    <row r="143" customFormat="false" ht="14.1" hidden="false" customHeight="true" outlineLevel="0" collapsed="false">
      <c r="F143" s="204"/>
      <c r="S143" s="205"/>
      <c r="T143" s="206"/>
    </row>
    <row r="145" customFormat="false" ht="14.1" hidden="false" customHeight="true" outlineLevel="0" collapsed="false">
      <c r="F145" s="204"/>
      <c r="S145" s="205"/>
      <c r="T145" s="206"/>
    </row>
    <row r="146" customFormat="false" ht="14.1" hidden="false" customHeight="true" outlineLevel="0" collapsed="false">
      <c r="F146" s="204"/>
      <c r="S146" s="205"/>
      <c r="T146" s="206"/>
    </row>
    <row r="147" customFormat="false" ht="14.1" hidden="false" customHeight="true" outlineLevel="0" collapsed="false">
      <c r="F147" s="204"/>
      <c r="S147" s="205"/>
      <c r="T147" s="206"/>
    </row>
    <row r="148" customFormat="false" ht="14.1" hidden="false" customHeight="true" outlineLevel="0" collapsed="false">
      <c r="F148" s="204"/>
      <c r="S148" s="205"/>
      <c r="T148" s="206"/>
    </row>
    <row r="149" customFormat="false" ht="14.1" hidden="false" customHeight="true" outlineLevel="0" collapsed="false">
      <c r="F149" s="204"/>
      <c r="S149" s="205"/>
      <c r="T149" s="206"/>
    </row>
    <row r="150" customFormat="false" ht="14.1" hidden="false" customHeight="true" outlineLevel="0" collapsed="false">
      <c r="F150" s="204"/>
      <c r="S150" s="205"/>
      <c r="T150" s="206"/>
    </row>
    <row r="152" customFormat="false" ht="14.1" hidden="false" customHeight="true" outlineLevel="0" collapsed="false">
      <c r="J152" s="136" t="s">
        <v>162</v>
      </c>
    </row>
    <row r="1048497" customFormat="false" ht="12.8" hidden="false" customHeight="true" outlineLevel="0" collapsed="false"/>
    <row r="1048498" customFormat="false" ht="12.8" hidden="false" customHeight="true" outlineLevel="0" collapsed="false"/>
    <row r="1048499" customFormat="false" ht="12.8" hidden="false" customHeight="true" outlineLevel="0" collapsed="false"/>
    <row r="1048500" customFormat="false" ht="12.8" hidden="false" customHeight="true" outlineLevel="0" collapsed="false"/>
    <row r="1048501" customFormat="false" ht="12.8" hidden="false" customHeight="true" outlineLevel="0" collapsed="false"/>
    <row r="1048502" customFormat="false" ht="12.8" hidden="false" customHeight="true" outlineLevel="0" collapsed="false"/>
    <row r="1048503" customFormat="false" ht="12.8" hidden="false" customHeight="true" outlineLevel="0" collapsed="false"/>
    <row r="1048504" customFormat="false" ht="12.8" hidden="false" customHeight="true" outlineLevel="0" collapsed="false"/>
    <row r="1048505" customFormat="false" ht="12.8" hidden="false" customHeight="true" outlineLevel="0" collapsed="false"/>
    <row r="1048506" customFormat="false" ht="12.8" hidden="false" customHeight="true" outlineLevel="0" collapsed="false"/>
    <row r="1048507" customFormat="false" ht="12.8" hidden="false" customHeight="true" outlineLevel="0" collapsed="false"/>
    <row r="1048508" customFormat="false" ht="12.8" hidden="false" customHeight="true" outlineLevel="0" collapsed="false"/>
    <row r="1048509" customFormat="false" ht="12.8" hidden="false" customHeight="true" outlineLevel="0" collapsed="false"/>
    <row r="1048510" customFormat="false" ht="12.8" hidden="false" customHeight="true" outlineLevel="0" collapsed="false"/>
    <row r="1048511" customFormat="false" ht="12.8" hidden="false" customHeight="true" outlineLevel="0" collapsed="false"/>
    <row r="1048512" customFormat="false" ht="12.8" hidden="false" customHeight="true" outlineLevel="0" collapsed="false"/>
    <row r="1048513" customFormat="false" ht="12.8" hidden="false" customHeight="true" outlineLevel="0" collapsed="false"/>
    <row r="1048514" customFormat="false" ht="12.8" hidden="false" customHeight="true" outlineLevel="0" collapsed="false"/>
    <row r="1048515" customFormat="false" ht="12.8" hidden="false" customHeight="true" outlineLevel="0" collapsed="false"/>
    <row r="1048516" customFormat="false" ht="12.8" hidden="false" customHeight="true" outlineLevel="0" collapsed="false"/>
    <row r="1048517" customFormat="false" ht="12.8" hidden="false" customHeight="true" outlineLevel="0" collapsed="false"/>
    <row r="1048518" customFormat="false" ht="12.8" hidden="false" customHeight="true" outlineLevel="0" collapsed="false"/>
    <row r="1048519" customFormat="false" ht="12.8" hidden="false" customHeight="true" outlineLevel="0" collapsed="false"/>
    <row r="1048520" customFormat="false" ht="12.8" hidden="false" customHeight="true" outlineLevel="0" collapsed="false"/>
    <row r="1048521" customFormat="false" ht="12.8" hidden="false" customHeight="true" outlineLevel="0" collapsed="false"/>
    <row r="1048522" customFormat="false" ht="12.8" hidden="false" customHeight="true" outlineLevel="0" collapsed="false"/>
    <row r="1048523" customFormat="false" ht="12.8" hidden="false" customHeight="true" outlineLevel="0" collapsed="false"/>
    <row r="1048524" customFormat="false" ht="12.8" hidden="false" customHeight="true" outlineLevel="0" collapsed="false"/>
    <row r="1048525" customFormat="false" ht="12.8" hidden="false" customHeight="true" outlineLevel="0" collapsed="false"/>
    <row r="1048526" customFormat="false" ht="12.8" hidden="false" customHeight="true" outlineLevel="0" collapsed="false"/>
    <row r="1048527" customFormat="false" ht="12.8" hidden="false" customHeight="true" outlineLevel="0" collapsed="false"/>
    <row r="1048528" customFormat="false" ht="12.8" hidden="false" customHeight="true" outlineLevel="0" collapsed="false"/>
    <row r="1048529" customFormat="false" ht="12.8" hidden="false" customHeight="true" outlineLevel="0" collapsed="false"/>
    <row r="1048530" customFormat="false" ht="12.8" hidden="false" customHeight="true" outlineLevel="0" collapsed="false"/>
    <row r="1048531" customFormat="false" ht="12.8" hidden="false" customHeight="true" outlineLevel="0" collapsed="false"/>
    <row r="1048532" customFormat="false" ht="12.8" hidden="false" customHeight="true" outlineLevel="0" collapsed="false"/>
    <row r="1048533" customFormat="false" ht="12.8" hidden="false" customHeight="true" outlineLevel="0" collapsed="false"/>
    <row r="1048534" customFormat="false" ht="12.8" hidden="false" customHeight="true" outlineLevel="0" collapsed="false"/>
    <row r="1048535" customFormat="false" ht="12.8" hidden="false" customHeight="true" outlineLevel="0" collapsed="false"/>
    <row r="1048536" customFormat="false" ht="12.8" hidden="false" customHeight="true" outlineLevel="0" collapsed="false"/>
    <row r="1048537" customFormat="false" ht="12.8" hidden="false" customHeight="true" outlineLevel="0" collapsed="false"/>
    <row r="1048538" customFormat="false" ht="12.8" hidden="false" customHeight="true" outlineLevel="0" collapsed="false"/>
    <row r="1048539" customFormat="false" ht="12.8" hidden="false" customHeight="true" outlineLevel="0" collapsed="false"/>
    <row r="1048540" customFormat="false" ht="12.8" hidden="false" customHeight="true" outlineLevel="0" collapsed="false"/>
    <row r="1048541" customFormat="false" ht="12.8" hidden="false" customHeight="true" outlineLevel="0" collapsed="false"/>
    <row r="1048542" customFormat="false" ht="12.8" hidden="false" customHeight="true" outlineLevel="0" collapsed="false"/>
    <row r="1048543" customFormat="false" ht="12.8" hidden="false" customHeight="true" outlineLevel="0" collapsed="false"/>
    <row r="1048544" customFormat="false" ht="12.8" hidden="false" customHeight="true" outlineLevel="0" collapsed="false"/>
    <row r="1048545" customFormat="false" ht="12.8" hidden="false" customHeight="true" outlineLevel="0" collapsed="false"/>
    <row r="1048546" customFormat="false" ht="12.8" hidden="false" customHeight="true" outlineLevel="0" collapsed="false"/>
    <row r="1048547" customFormat="false" ht="12.8" hidden="false" customHeight="true" outlineLevel="0" collapsed="false"/>
    <row r="1048548" customFormat="false" ht="12.8" hidden="false" customHeight="true" outlineLevel="0" collapsed="false"/>
    <row r="1048549" customFormat="false" ht="12.8" hidden="false" customHeight="true" outlineLevel="0" collapsed="false"/>
    <row r="1048550" customFormat="false" ht="12.8" hidden="false" customHeight="true" outlineLevel="0" collapsed="false"/>
    <row r="1048551" customFormat="false" ht="12.8" hidden="false" customHeight="true" outlineLevel="0" collapsed="false"/>
    <row r="1048552" customFormat="false" ht="12.8" hidden="false" customHeight="true" outlineLevel="0" collapsed="false"/>
    <row r="1048553" customFormat="false" ht="12.8" hidden="false" customHeight="true" outlineLevel="0" collapsed="false"/>
    <row r="1048554" customFormat="false" ht="12.8" hidden="false" customHeight="true" outlineLevel="0" collapsed="false"/>
    <row r="1048555" customFormat="false" ht="12.8" hidden="false" customHeight="true" outlineLevel="0" collapsed="false"/>
    <row r="1048556" customFormat="false" ht="12.8" hidden="false" customHeight="true" outlineLevel="0" collapsed="false"/>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9">
    <mergeCell ref="R3:T3"/>
    <mergeCell ref="C4:T4"/>
    <mergeCell ref="C5:T5"/>
    <mergeCell ref="C8:E8"/>
    <mergeCell ref="H8:T8"/>
    <mergeCell ref="H9:T9"/>
    <mergeCell ref="H10:T10"/>
    <mergeCell ref="H11:T11"/>
    <mergeCell ref="S13:T13"/>
  </mergeCells>
  <hyperlinks>
    <hyperlink ref="C4" r:id="rId1" display="Ultrasonication is a common tool to test the susceptibility of soil aggregate structure to mechanical stress and measure soil carbon pools. To help you with your work, we provide this open access sheet to calculate the sonication time needed for the application of a certain amount of mechanical stress (J/ml). The document is CCL by-sa (Frederick Büks) – feel free to optimize and share."/>
    <hyperlink ref="C5" r:id="rId2" display="The calculations are based on:&#10;North, P.: Towards an absolute measurement of soil structural stability using ultrasound, J. Soil Sci., 27, 451–459, https://doi.org/10.1111/j.1365-2389.1976.tb02014.x, 1976."/>
  </hyperlinks>
  <printOptions headings="false" gridLines="false" gridLinesSet="true" horizontalCentered="false" verticalCentered="false"/>
  <pageMargins left="0.7875" right="0.7875" top="1.025" bottom="1.025" header="0.7875" footer="0.7875"/>
  <pageSetup paperSize="9" scale="100" fitToWidth="1" fitToHeight="1" pageOrder="downThenOver" orientation="landscape" blackAndWhite="false" draft="false" cellComments="none" horizontalDpi="300" verticalDpi="300" copies="1"/>
  <headerFooter differentFirst="false" differentOddEven="false">
    <oddHeader>&amp;C&amp;A</oddHeader>
    <oddFooter>&amp;CSeite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AMJ190"/>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AA23" activeCellId="0" sqref="AA23"/>
    </sheetView>
  </sheetViews>
  <sheetFormatPr defaultColWidth="11.53515625" defaultRowHeight="12.8" zeroHeight="false" outlineLevelRow="0" outlineLevelCol="0"/>
  <cols>
    <col collapsed="false" customWidth="true" hidden="false" outlineLevel="0" max="2" min="1" style="207" width="4.17"/>
    <col collapsed="false" customWidth="false" hidden="false" outlineLevel="0" max="4" min="3" style="207" width="11.52"/>
    <col collapsed="false" customWidth="true" hidden="false" outlineLevel="0" max="5" min="5" style="207" width="7.87"/>
    <col collapsed="false" customWidth="true" hidden="false" outlineLevel="0" max="6" min="6" style="207" width="5.55"/>
    <col collapsed="false" customWidth="false" hidden="false" outlineLevel="0" max="7" min="7" style="208" width="11.52"/>
    <col collapsed="false" customWidth="false" hidden="false" outlineLevel="0" max="8" min="8" style="209" width="11.52"/>
    <col collapsed="false" customWidth="false" hidden="false" outlineLevel="0" max="10" min="9" style="207" width="11.52"/>
    <col collapsed="false" customWidth="false" hidden="false" outlineLevel="0" max="11" min="11" style="210" width="11.52"/>
    <col collapsed="false" customWidth="false" hidden="false" outlineLevel="0" max="13" min="12" style="207" width="11.52"/>
    <col collapsed="false" customWidth="true" hidden="false" outlineLevel="0" max="14" min="14" style="207" width="9.03"/>
    <col collapsed="false" customWidth="true" hidden="false" outlineLevel="0" max="15" min="15" style="207" width="8.33"/>
    <col collapsed="false" customWidth="true" hidden="false" outlineLevel="0" max="16" min="16" style="211" width="7.87"/>
    <col collapsed="false" customWidth="true" hidden="false" outlineLevel="0" max="17" min="17" style="207" width="8.57"/>
    <col collapsed="false" customWidth="true" hidden="false" outlineLevel="0" max="18" min="18" style="207" width="11.88"/>
    <col collapsed="false" customWidth="true" hidden="false" outlineLevel="0" max="19" min="19" style="207" width="12.04"/>
    <col collapsed="false" customWidth="true" hidden="false" outlineLevel="0" max="20" min="20" style="207" width="7.26"/>
    <col collapsed="false" customWidth="true" hidden="false" outlineLevel="0" max="21" min="21" style="207" width="8.03"/>
    <col collapsed="false" customWidth="true" hidden="false" outlineLevel="0" max="22" min="22" style="207" width="9.12"/>
    <col collapsed="false" customWidth="true" hidden="false" outlineLevel="0" max="23" min="23" style="207" width="6.84"/>
    <col collapsed="false" customWidth="true" hidden="false" outlineLevel="0" max="24" min="24" style="209" width="7.26"/>
    <col collapsed="false" customWidth="true" hidden="false" outlineLevel="0" max="25" min="25" style="207" width="9.26"/>
    <col collapsed="false" customWidth="true" hidden="false" outlineLevel="0" max="26" min="26" style="211" width="5.7"/>
    <col collapsed="false" customWidth="true" hidden="false" outlineLevel="0" max="27" min="27" style="211" width="7.07"/>
    <col collapsed="false" customWidth="true" hidden="false" outlineLevel="0" max="28" min="28" style="211" width="6.94"/>
    <col collapsed="false" customWidth="true" hidden="false" outlineLevel="0" max="29" min="29" style="211" width="8.16"/>
    <col collapsed="false" customWidth="true" hidden="false" outlineLevel="0" max="30" min="30" style="207" width="3.42"/>
    <col collapsed="false" customWidth="true" hidden="false" outlineLevel="0" max="31" min="31" style="207" width="2.19"/>
    <col collapsed="false" customWidth="false" hidden="false" outlineLevel="0" max="991" min="32" style="207" width="11.52"/>
  </cols>
  <sheetData>
    <row r="2" customFormat="false" ht="12.8" hidden="false" customHeight="false" outlineLevel="0" collapsed="false">
      <c r="B2" s="42"/>
      <c r="C2" s="43"/>
      <c r="D2" s="59"/>
      <c r="E2" s="43"/>
      <c r="F2" s="43"/>
      <c r="G2" s="59"/>
      <c r="H2" s="212"/>
      <c r="I2" s="213"/>
      <c r="J2" s="213"/>
      <c r="K2" s="60"/>
      <c r="L2" s="212"/>
      <c r="M2" s="212"/>
      <c r="N2" s="214"/>
      <c r="O2" s="212"/>
      <c r="P2" s="213"/>
      <c r="Q2" s="212"/>
      <c r="R2" s="212"/>
      <c r="S2" s="212"/>
      <c r="T2" s="212"/>
      <c r="U2" s="212"/>
      <c r="V2" s="212"/>
      <c r="W2" s="212"/>
      <c r="X2" s="212"/>
      <c r="Y2" s="212"/>
      <c r="Z2" s="213"/>
      <c r="AA2" s="213"/>
      <c r="AB2" s="213"/>
      <c r="AC2" s="213"/>
      <c r="AD2" s="215"/>
    </row>
    <row r="3" customFormat="false" ht="12.8" hidden="false" customHeight="false" outlineLevel="0" collapsed="false">
      <c r="B3" s="46"/>
      <c r="C3" s="216" t="s">
        <v>163</v>
      </c>
      <c r="D3" s="216"/>
      <c r="E3" s="216"/>
      <c r="F3" s="216"/>
      <c r="G3" s="216"/>
      <c r="H3" s="216"/>
      <c r="I3" s="216"/>
      <c r="J3" s="216"/>
      <c r="K3" s="216"/>
      <c r="L3" s="216"/>
      <c r="M3" s="216"/>
      <c r="N3" s="216"/>
      <c r="O3" s="216"/>
      <c r="P3" s="216"/>
      <c r="Q3" s="217"/>
      <c r="R3" s="217"/>
      <c r="S3" s="218"/>
      <c r="T3" s="217"/>
      <c r="U3" s="217"/>
      <c r="V3" s="217"/>
      <c r="W3" s="219"/>
      <c r="X3" s="122"/>
      <c r="Y3" s="218"/>
      <c r="Z3" s="220"/>
      <c r="AA3" s="220"/>
      <c r="AB3" s="220"/>
      <c r="AC3" s="220"/>
      <c r="AD3" s="218"/>
    </row>
    <row r="4" customFormat="false" ht="26.5" hidden="false" customHeight="true" outlineLevel="0" collapsed="false">
      <c r="B4" s="221"/>
      <c r="C4" s="222" t="s">
        <v>164</v>
      </c>
      <c r="D4" s="223" t="s">
        <v>165</v>
      </c>
      <c r="E4" s="223" t="s">
        <v>85</v>
      </c>
      <c r="F4" s="223" t="s">
        <v>166</v>
      </c>
      <c r="G4" s="13" t="s">
        <v>136</v>
      </c>
      <c r="H4" s="110" t="s">
        <v>167</v>
      </c>
      <c r="I4" s="224" t="s">
        <v>168</v>
      </c>
      <c r="J4" s="224" t="s">
        <v>169</v>
      </c>
      <c r="K4" s="225" t="s">
        <v>170</v>
      </c>
      <c r="L4" s="110" t="s">
        <v>108</v>
      </c>
      <c r="M4" s="110" t="s">
        <v>171</v>
      </c>
      <c r="N4" s="110" t="s">
        <v>172</v>
      </c>
      <c r="O4" s="110" t="s">
        <v>173</v>
      </c>
      <c r="P4" s="226" t="s">
        <v>174</v>
      </c>
      <c r="Q4" s="110" t="s">
        <v>175</v>
      </c>
      <c r="R4" s="155" t="s">
        <v>92</v>
      </c>
      <c r="S4" s="227" t="s">
        <v>176</v>
      </c>
      <c r="T4" s="228" t="s">
        <v>108</v>
      </c>
      <c r="U4" s="155" t="s">
        <v>92</v>
      </c>
      <c r="V4" s="155" t="s">
        <v>176</v>
      </c>
      <c r="W4" s="110" t="s">
        <v>177</v>
      </c>
      <c r="X4" s="155" t="s">
        <v>92</v>
      </c>
      <c r="Y4" s="227" t="s">
        <v>176</v>
      </c>
      <c r="Z4" s="229" t="s">
        <v>178</v>
      </c>
      <c r="AA4" s="229"/>
      <c r="AB4" s="229"/>
      <c r="AC4" s="229"/>
      <c r="AD4" s="230"/>
    </row>
    <row r="5" s="231" customFormat="true" ht="12.8" hidden="false" customHeight="false" outlineLevel="0" collapsed="false">
      <c r="B5" s="221"/>
      <c r="C5" s="222"/>
      <c r="D5" s="223"/>
      <c r="E5" s="223"/>
      <c r="F5" s="223"/>
      <c r="G5" s="13" t="s">
        <v>179</v>
      </c>
      <c r="H5" s="110" t="s">
        <v>57</v>
      </c>
      <c r="I5" s="224" t="s">
        <v>57</v>
      </c>
      <c r="J5" s="224" t="s">
        <v>57</v>
      </c>
      <c r="K5" s="225" t="s">
        <v>57</v>
      </c>
      <c r="L5" s="110" t="s">
        <v>180</v>
      </c>
      <c r="M5" s="110" t="s">
        <v>19</v>
      </c>
      <c r="N5" s="110" t="s">
        <v>19</v>
      </c>
      <c r="O5" s="110" t="s">
        <v>19</v>
      </c>
      <c r="P5" s="226" t="s">
        <v>57</v>
      </c>
      <c r="Q5" s="110" t="s">
        <v>181</v>
      </c>
      <c r="R5" s="110" t="s">
        <v>181</v>
      </c>
      <c r="S5" s="230" t="s">
        <v>181</v>
      </c>
      <c r="T5" s="110" t="s">
        <v>182</v>
      </c>
      <c r="U5" s="110" t="s">
        <v>182</v>
      </c>
      <c r="V5" s="110" t="s">
        <v>182</v>
      </c>
      <c r="W5" s="110" t="s">
        <v>180</v>
      </c>
      <c r="X5" s="110" t="s">
        <v>180</v>
      </c>
      <c r="Y5" s="230" t="s">
        <v>180</v>
      </c>
      <c r="Z5" s="232" t="s">
        <v>183</v>
      </c>
      <c r="AA5" s="233" t="n">
        <v>0</v>
      </c>
      <c r="AB5" s="233" t="n">
        <v>1</v>
      </c>
      <c r="AC5" s="233" t="n">
        <v>4</v>
      </c>
      <c r="AD5" s="230"/>
      <c r="ALD5" s="0"/>
      <c r="ALE5" s="0"/>
      <c r="ALF5" s="0"/>
      <c r="ALG5" s="0"/>
      <c r="ALH5" s="0"/>
      <c r="ALI5" s="0"/>
      <c r="ALJ5" s="0"/>
      <c r="ALK5" s="0"/>
      <c r="ALL5" s="0"/>
      <c r="ALM5" s="0"/>
      <c r="ALN5" s="0"/>
      <c r="ALO5" s="0"/>
      <c r="ALP5" s="0"/>
      <c r="ALQ5" s="0"/>
      <c r="ALR5" s="0"/>
      <c r="ALS5" s="0"/>
      <c r="ALT5" s="0"/>
      <c r="ALU5" s="0"/>
      <c r="ALV5" s="0"/>
      <c r="ALW5" s="0"/>
      <c r="ALX5" s="0"/>
      <c r="ALY5" s="0"/>
      <c r="ALZ5" s="0"/>
      <c r="AMA5" s="0"/>
      <c r="AMB5" s="0"/>
      <c r="AMC5" s="0"/>
      <c r="AMD5" s="0"/>
      <c r="AME5" s="0"/>
      <c r="AMF5" s="0"/>
      <c r="AMG5" s="0"/>
      <c r="AMH5" s="0"/>
      <c r="AMI5" s="0"/>
      <c r="AMJ5" s="0"/>
    </row>
    <row r="6" customFormat="false" ht="12.8" hidden="false" customHeight="false" outlineLevel="0" collapsed="false">
      <c r="B6" s="46"/>
      <c r="C6" s="96" t="s">
        <v>28</v>
      </c>
      <c r="D6" s="234" t="s">
        <v>158</v>
      </c>
      <c r="E6" s="59" t="s">
        <v>103</v>
      </c>
      <c r="F6" s="59" t="n">
        <v>51</v>
      </c>
      <c r="G6" s="59" t="n">
        <v>0</v>
      </c>
      <c r="H6" s="212" t="n">
        <f aca="false">K6+K26+K46</f>
        <v>18.7202</v>
      </c>
      <c r="I6" s="235" t="n">
        <v>5.3061</v>
      </c>
      <c r="J6" s="235" t="n">
        <v>5.3188</v>
      </c>
      <c r="K6" s="236" t="n">
        <f aca="false">J6-I6</f>
        <v>0.0127000000000006</v>
      </c>
      <c r="L6" s="237" t="n">
        <v>28.7258</v>
      </c>
      <c r="M6" s="237" t="n">
        <v>21.4708864813777</v>
      </c>
      <c r="N6" s="238" t="n">
        <f aca="false">AVERAGE(M6:M10)</f>
        <v>23.9446680293211</v>
      </c>
      <c r="O6" s="238" t="n">
        <f aca="false">STDEV(M6:M10)</f>
        <v>4.08523650986465</v>
      </c>
      <c r="P6" s="239" t="n">
        <f aca="false">K6*L6/100</f>
        <v>0.00364817660000017</v>
      </c>
      <c r="Q6" s="212" t="n">
        <f aca="false">1000*K6/H6</f>
        <v>0.678411555432132</v>
      </c>
      <c r="R6" s="212" t="n">
        <f aca="false">AVERAGE(Q6:Q10)</f>
        <v>1.18422016744536</v>
      </c>
      <c r="S6" s="215" t="n">
        <f aca="false">STDEV(Q6:Q10)</f>
        <v>0.612771344083032</v>
      </c>
      <c r="T6" s="212" t="n">
        <f aca="false">1000*P6/H6</f>
        <v>0.194879146590323</v>
      </c>
      <c r="U6" s="212" t="n">
        <f aca="false">AVERAGE(T6:T10)</f>
        <v>0.360423635924744</v>
      </c>
      <c r="V6" s="212" t="n">
        <f aca="false">STDEV(T6:T10)</f>
        <v>0.21746170021315</v>
      </c>
      <c r="W6" s="212" t="n">
        <f aca="false">100*T6/(T6+T26+T46)</f>
        <v>0.947088075183293</v>
      </c>
      <c r="X6" s="212" t="n">
        <f aca="false">AVERAGE(W6:W10)</f>
        <v>1.81647775856533</v>
      </c>
      <c r="Y6" s="215" t="n">
        <f aca="false">STDEV(W6:W10)</f>
        <v>1.16122501879863</v>
      </c>
      <c r="Z6" s="213"/>
      <c r="AA6" s="213" t="n">
        <f aca="false">TTEST(W6:W10,W11:W15,2,2)</f>
        <v>0.221247202573151</v>
      </c>
      <c r="AB6" s="213" t="n">
        <f aca="false">TTEST(W6:W10,W16:W20,2,2)</f>
        <v>0.292395675086469</v>
      </c>
      <c r="AC6" s="213" t="n">
        <f aca="false">TTEST(W6:W10,W21:W25,2,2)</f>
        <v>0.503852806246909</v>
      </c>
      <c r="AD6" s="240"/>
      <c r="AF6" s="209"/>
      <c r="AG6" s="209"/>
      <c r="AH6" s="209"/>
    </row>
    <row r="7" customFormat="false" ht="12.8" hidden="false" customHeight="false" outlineLevel="0" collapsed="false">
      <c r="B7" s="46"/>
      <c r="C7" s="50" t="s">
        <v>28</v>
      </c>
      <c r="D7" s="64" t="s">
        <v>158</v>
      </c>
      <c r="E7" s="64" t="s">
        <v>105</v>
      </c>
      <c r="F7" s="64" t="n">
        <v>52</v>
      </c>
      <c r="G7" s="64" t="n">
        <v>0</v>
      </c>
      <c r="H7" s="122" t="n">
        <f aca="false">K7+K27+K47</f>
        <v>19.1794</v>
      </c>
      <c r="I7" s="241" t="n">
        <v>5.2437</v>
      </c>
      <c r="J7" s="241" t="n">
        <v>5.2746</v>
      </c>
      <c r="K7" s="242" t="n">
        <f aca="false">J7-I7</f>
        <v>0.0309000000000008</v>
      </c>
      <c r="L7" s="121" t="n">
        <v>33.38</v>
      </c>
      <c r="M7" s="121" t="n">
        <v>23.2020914392473</v>
      </c>
      <c r="N7" s="128"/>
      <c r="O7" s="128"/>
      <c r="P7" s="243" t="n">
        <f aca="false">K7*L7/100</f>
        <v>0.0103144200000003</v>
      </c>
      <c r="Q7" s="122" t="n">
        <f aca="false">1000*K7/H7</f>
        <v>1.61110357988262</v>
      </c>
      <c r="R7" s="122"/>
      <c r="S7" s="240"/>
      <c r="T7" s="122" t="n">
        <f aca="false">1000*P7/H7</f>
        <v>0.53778637496482</v>
      </c>
      <c r="U7" s="122"/>
      <c r="V7" s="194"/>
      <c r="W7" s="194" t="n">
        <f aca="false">100*T7/(T7+T27+T47)</f>
        <v>2.65548312860491</v>
      </c>
      <c r="X7" s="244" t="n">
        <f aca="false">QUARTILE(W6:W10,1)-(1.5*(QUARTILE(W6:W10,3)-QUARTILE(W6:W10,1)))</f>
        <v>-1.61550450494913</v>
      </c>
      <c r="Y7" s="240"/>
      <c r="Z7" s="245"/>
      <c r="AA7" s="245"/>
      <c r="AB7" s="245"/>
      <c r="AC7" s="245"/>
      <c r="AD7" s="240"/>
      <c r="AF7" s="209"/>
      <c r="AG7" s="209"/>
      <c r="AH7" s="209"/>
    </row>
    <row r="8" customFormat="false" ht="12.8" hidden="false" customHeight="false" outlineLevel="0" collapsed="false">
      <c r="B8" s="46"/>
      <c r="C8" s="50" t="s">
        <v>28</v>
      </c>
      <c r="D8" s="64" t="s">
        <v>158</v>
      </c>
      <c r="E8" s="64" t="s">
        <v>108</v>
      </c>
      <c r="F8" s="64" t="n">
        <v>53</v>
      </c>
      <c r="G8" s="64" t="n">
        <v>0</v>
      </c>
      <c r="H8" s="122" t="n">
        <f aca="false">K8+K28+K48</f>
        <v>19.2459</v>
      </c>
      <c r="I8" s="241" t="n">
        <v>5.2557</v>
      </c>
      <c r="J8" s="241" t="n">
        <v>5.2648</v>
      </c>
      <c r="K8" s="242" t="n">
        <f aca="false">J8-I8</f>
        <v>0.00910000000000011</v>
      </c>
      <c r="L8" s="121" t="n">
        <v>25.5376</v>
      </c>
      <c r="M8" s="121" t="n">
        <v>18.9356231689453</v>
      </c>
      <c r="N8" s="128"/>
      <c r="O8" s="128"/>
      <c r="P8" s="243" t="n">
        <f aca="false">K8*L8/100</f>
        <v>0.00232392160000003</v>
      </c>
      <c r="Q8" s="122" t="n">
        <f aca="false">1000*K8/H8</f>
        <v>0.472827978946171</v>
      </c>
      <c r="R8" s="122"/>
      <c r="S8" s="240"/>
      <c r="T8" s="122" t="n">
        <f aca="false">1000*P8/H8</f>
        <v>0.120748917951357</v>
      </c>
      <c r="U8" s="122"/>
      <c r="V8" s="194"/>
      <c r="W8" s="194" t="n">
        <f aca="false">100*T8/(T8+T28+T48)</f>
        <v>0.608617558391193</v>
      </c>
      <c r="X8" s="244" t="n">
        <f aca="false">QUARTILE(W6:W10,3)+(1.5*(QUARTILE(W6:W10,3)-QUARTILE(W6:W10,1)))</f>
        <v>5.21807570873733</v>
      </c>
      <c r="Y8" s="240"/>
      <c r="Z8" s="245"/>
      <c r="AA8" s="245"/>
      <c r="AB8" s="245"/>
      <c r="AC8" s="245"/>
      <c r="AD8" s="240"/>
      <c r="AF8" s="209"/>
      <c r="AG8" s="209"/>
      <c r="AH8" s="209"/>
    </row>
    <row r="9" customFormat="false" ht="12.8" hidden="false" customHeight="false" outlineLevel="0" collapsed="false">
      <c r="B9" s="46"/>
      <c r="C9" s="50" t="s">
        <v>28</v>
      </c>
      <c r="D9" s="64" t="s">
        <v>158</v>
      </c>
      <c r="E9" s="64" t="s">
        <v>111</v>
      </c>
      <c r="F9" s="64" t="n">
        <v>54</v>
      </c>
      <c r="G9" s="64" t="n">
        <v>0</v>
      </c>
      <c r="H9" s="122" t="n">
        <f aca="false">K9+K29+K49</f>
        <v>19.2023</v>
      </c>
      <c r="I9" s="241" t="n">
        <v>5.3044</v>
      </c>
      <c r="J9" s="241" t="n">
        <v>5.328</v>
      </c>
      <c r="K9" s="242" t="n">
        <f aca="false">J9-I9</f>
        <v>0.0236000000000001</v>
      </c>
      <c r="L9" s="121" t="n">
        <v>26.1371</v>
      </c>
      <c r="M9" s="121" t="n">
        <v>27.2936756857992</v>
      </c>
      <c r="N9" s="128"/>
      <c r="O9" s="128"/>
      <c r="P9" s="243" t="n">
        <f aca="false">K9*L9/100</f>
        <v>0.00616835560000002</v>
      </c>
      <c r="Q9" s="122" t="n">
        <f aca="false">1000*K9/H9</f>
        <v>1.22901944037954</v>
      </c>
      <c r="R9" s="122"/>
      <c r="S9" s="240"/>
      <c r="T9" s="122" t="n">
        <f aca="false">1000*P9/H9</f>
        <v>0.321230040151441</v>
      </c>
      <c r="U9" s="122"/>
      <c r="V9" s="194"/>
      <c r="W9" s="194" t="n">
        <f aca="false">100*T9/(T9+T29+T49)</f>
        <v>1.51135579872893</v>
      </c>
      <c r="X9" s="246"/>
      <c r="Y9" s="240"/>
      <c r="Z9" s="245"/>
      <c r="AA9" s="245"/>
      <c r="AB9" s="245"/>
      <c r="AC9" s="245"/>
      <c r="AD9" s="240"/>
      <c r="AF9" s="209"/>
      <c r="AG9" s="209"/>
      <c r="AH9" s="209"/>
    </row>
    <row r="10" customFormat="false" ht="12.8" hidden="false" customHeight="false" outlineLevel="0" collapsed="false">
      <c r="B10" s="46"/>
      <c r="C10" s="50" t="s">
        <v>28</v>
      </c>
      <c r="D10" s="64" t="s">
        <v>158</v>
      </c>
      <c r="E10" s="64" t="s">
        <v>114</v>
      </c>
      <c r="F10" s="64" t="n">
        <v>55</v>
      </c>
      <c r="G10" s="64" t="n">
        <v>0</v>
      </c>
      <c r="H10" s="122" t="n">
        <f aca="false">K10+K30+K50</f>
        <v>18.7072</v>
      </c>
      <c r="I10" s="241" t="n">
        <v>5.2876</v>
      </c>
      <c r="J10" s="241" t="n">
        <v>5.3237</v>
      </c>
      <c r="K10" s="242" t="n">
        <f aca="false">J10-I10</f>
        <v>0.0360999999999994</v>
      </c>
      <c r="L10" s="121" t="n">
        <v>32.516</v>
      </c>
      <c r="M10" s="121" t="n">
        <v>28.8210633712358</v>
      </c>
      <c r="N10" s="128"/>
      <c r="O10" s="128"/>
      <c r="P10" s="243" t="n">
        <f aca="false">K10*L10/100</f>
        <v>0.0117382759999998</v>
      </c>
      <c r="Q10" s="122" t="n">
        <f aca="false">1000*K10/H10</f>
        <v>1.92973828258635</v>
      </c>
      <c r="R10" s="122"/>
      <c r="S10" s="240"/>
      <c r="T10" s="122" t="n">
        <f aca="false">1000*P10/H10</f>
        <v>0.627473699965777</v>
      </c>
      <c r="U10" s="122"/>
      <c r="V10" s="194"/>
      <c r="W10" s="194" t="n">
        <f aca="false">100*T10/(T10+T30+T50)</f>
        <v>3.35984423191832</v>
      </c>
      <c r="X10" s="122"/>
      <c r="Y10" s="240"/>
      <c r="Z10" s="245"/>
      <c r="AA10" s="245"/>
      <c r="AB10" s="245"/>
      <c r="AC10" s="245"/>
      <c r="AD10" s="240"/>
      <c r="AF10" s="209"/>
      <c r="AG10" s="209"/>
      <c r="AH10" s="209"/>
    </row>
    <row r="11" customFormat="false" ht="12.8" hidden="false" customHeight="false" outlineLevel="0" collapsed="false">
      <c r="B11" s="46"/>
      <c r="C11" s="176" t="s">
        <v>28</v>
      </c>
      <c r="D11" s="247" t="n">
        <v>0</v>
      </c>
      <c r="E11" s="247" t="s">
        <v>103</v>
      </c>
      <c r="F11" s="247" t="n">
        <v>56</v>
      </c>
      <c r="G11" s="247" t="n">
        <v>0</v>
      </c>
      <c r="H11" s="181" t="n">
        <f aca="false">K11+K31+K51</f>
        <v>18.8584</v>
      </c>
      <c r="I11" s="248" t="n">
        <v>5.2777</v>
      </c>
      <c r="J11" s="248" t="n">
        <v>5.294</v>
      </c>
      <c r="K11" s="249" t="n">
        <f aca="false">J11-I11</f>
        <v>0.0162999999999993</v>
      </c>
      <c r="L11" s="179" t="n">
        <v>48.73</v>
      </c>
      <c r="M11" s="179" t="n">
        <v>28.98</v>
      </c>
      <c r="N11" s="250" t="n">
        <f aca="false">AVERAGE(M11:M15)</f>
        <v>30.08</v>
      </c>
      <c r="O11" s="250" t="n">
        <f aca="false">STDEV(M11:M15)</f>
        <v>5.66386352236704</v>
      </c>
      <c r="P11" s="251" t="n">
        <f aca="false">K11*L11/100</f>
        <v>0.00794298999999967</v>
      </c>
      <c r="Q11" s="181" t="n">
        <f aca="false">1000*K11/H11</f>
        <v>0.864336316972772</v>
      </c>
      <c r="R11" s="181" t="n">
        <f aca="false">AVERAGE(Q11:Q15)</f>
        <v>1.50138292169464</v>
      </c>
      <c r="S11" s="252" t="n">
        <f aca="false">STDEV(Q11:Q15)</f>
        <v>0.552617227938686</v>
      </c>
      <c r="T11" s="181" t="n">
        <f aca="false">1000*P11/H11</f>
        <v>0.421191087260832</v>
      </c>
      <c r="U11" s="181" t="n">
        <f aca="false">AVERAGE(T11:T15)</f>
        <v>0.59791251093215</v>
      </c>
      <c r="V11" s="181" t="n">
        <f aca="false">STDEV(T11:T15)</f>
        <v>0.257268119054735</v>
      </c>
      <c r="W11" s="181" t="n">
        <f aca="false">100*T11/(T11+T31+T51)</f>
        <v>2.09721577687003</v>
      </c>
      <c r="X11" s="181" t="n">
        <f aca="false">AVERAGE(W11:W15)</f>
        <v>2.80275965082478</v>
      </c>
      <c r="Y11" s="252" t="n">
        <f aca="false">STDEV(W11:W15)</f>
        <v>1.18958930556776</v>
      </c>
      <c r="Z11" s="253"/>
      <c r="AA11" s="253"/>
      <c r="AB11" s="253"/>
      <c r="AC11" s="253"/>
      <c r="AD11" s="240"/>
      <c r="AF11" s="209"/>
      <c r="AG11" s="209"/>
      <c r="AH11" s="254"/>
    </row>
    <row r="12" customFormat="false" ht="12.8" hidden="false" customHeight="false" outlineLevel="0" collapsed="false">
      <c r="B12" s="46"/>
      <c r="C12" s="50" t="s">
        <v>28</v>
      </c>
      <c r="D12" s="64" t="n">
        <v>0</v>
      </c>
      <c r="E12" s="64" t="s">
        <v>105</v>
      </c>
      <c r="F12" s="64" t="n">
        <v>57</v>
      </c>
      <c r="G12" s="64" t="n">
        <v>0</v>
      </c>
      <c r="H12" s="122" t="n">
        <f aca="false">K12+K32+K52</f>
        <v>18.9327</v>
      </c>
      <c r="I12" s="241" t="n">
        <v>5.3664</v>
      </c>
      <c r="J12" s="241" t="n">
        <v>5.4084</v>
      </c>
      <c r="K12" s="242" t="n">
        <f aca="false">J12-I12</f>
        <v>0.0420000000000007</v>
      </c>
      <c r="L12" s="121" t="n">
        <v>40.27</v>
      </c>
      <c r="M12" s="121" t="n">
        <v>36.42</v>
      </c>
      <c r="N12" s="128"/>
      <c r="O12" s="128"/>
      <c r="P12" s="243" t="n">
        <f aca="false">K12*L12/100</f>
        <v>0.0169134000000003</v>
      </c>
      <c r="Q12" s="122" t="n">
        <f aca="false">1000*K12/H12</f>
        <v>2.2183840656642</v>
      </c>
      <c r="R12" s="122"/>
      <c r="S12" s="240"/>
      <c r="T12" s="122" t="n">
        <f aca="false">1000*P12/H12</f>
        <v>0.893343263242975</v>
      </c>
      <c r="U12" s="122"/>
      <c r="V12" s="194"/>
      <c r="W12" s="194" t="n">
        <f aca="false">100*T12/(T12+T32+T52)</f>
        <v>4.23318366076311</v>
      </c>
      <c r="X12" s="244" t="n">
        <f aca="false">QUARTILE(W11:W15,1)-(1.5*(QUARTILE(W11:W15,3)-QUARTILE(W11:W15,1)))</f>
        <v>-0.622652358716356</v>
      </c>
      <c r="Y12" s="240"/>
      <c r="Z12" s="245"/>
      <c r="AA12" s="245"/>
      <c r="AB12" s="245"/>
      <c r="AC12" s="245"/>
      <c r="AD12" s="240"/>
      <c r="AF12" s="209"/>
      <c r="AG12" s="209"/>
      <c r="AH12" s="209"/>
    </row>
    <row r="13" customFormat="false" ht="12.8" hidden="false" customHeight="false" outlineLevel="0" collapsed="false">
      <c r="B13" s="46"/>
      <c r="C13" s="50" t="s">
        <v>28</v>
      </c>
      <c r="D13" s="64" t="n">
        <v>0</v>
      </c>
      <c r="E13" s="64" t="s">
        <v>108</v>
      </c>
      <c r="F13" s="64" t="n">
        <v>58</v>
      </c>
      <c r="G13" s="64" t="n">
        <v>0</v>
      </c>
      <c r="H13" s="122" t="n">
        <f aca="false">K13+K33+K53</f>
        <v>18.9927</v>
      </c>
      <c r="I13" s="241" t="n">
        <v>5.2892</v>
      </c>
      <c r="J13" s="241" t="n">
        <v>5.3239</v>
      </c>
      <c r="K13" s="242" t="n">
        <f aca="false">J13-I13</f>
        <v>0.0347</v>
      </c>
      <c r="L13" s="121" t="n">
        <v>46.81</v>
      </c>
      <c r="M13" s="121" t="n">
        <v>35.47</v>
      </c>
      <c r="N13" s="128"/>
      <c r="O13" s="128"/>
      <c r="P13" s="243" t="n">
        <f aca="false">K13*L13/100</f>
        <v>0.01624307</v>
      </c>
      <c r="Q13" s="122" t="n">
        <f aca="false">1000*K13/H13</f>
        <v>1.82701774892458</v>
      </c>
      <c r="R13" s="122"/>
      <c r="S13" s="240"/>
      <c r="T13" s="122" t="n">
        <f aca="false">1000*P13/H13</f>
        <v>0.855227008271598</v>
      </c>
      <c r="U13" s="122"/>
      <c r="V13" s="194"/>
      <c r="W13" s="194" t="n">
        <f aca="false">100*T13/(T13+T33+T53)</f>
        <v>3.91046120059428</v>
      </c>
      <c r="X13" s="244" t="n">
        <f aca="false">QUARTILE(W11:W15,3)+(1.5*(QUARTILE(W11:W15,3)-QUARTILE(W11:W15,1)))</f>
        <v>6.63032933618067</v>
      </c>
      <c r="Y13" s="240"/>
      <c r="Z13" s="245"/>
      <c r="AA13" s="245"/>
      <c r="AB13" s="245"/>
      <c r="AC13" s="245"/>
      <c r="AD13" s="240"/>
      <c r="AF13" s="209"/>
      <c r="AG13" s="209"/>
      <c r="AH13" s="209"/>
    </row>
    <row r="14" customFormat="false" ht="12.8" hidden="false" customHeight="false" outlineLevel="0" collapsed="false">
      <c r="B14" s="46"/>
      <c r="C14" s="50" t="s">
        <v>28</v>
      </c>
      <c r="D14" s="64" t="n">
        <v>0</v>
      </c>
      <c r="E14" s="64" t="s">
        <v>111</v>
      </c>
      <c r="F14" s="64" t="n">
        <v>59</v>
      </c>
      <c r="G14" s="64" t="n">
        <v>0</v>
      </c>
      <c r="H14" s="122" t="n">
        <f aca="false">K14+K34+K54</f>
        <v>18.8073</v>
      </c>
      <c r="I14" s="241" t="n">
        <v>5.311</v>
      </c>
      <c r="J14" s="241" t="n">
        <v>5.3399</v>
      </c>
      <c r="K14" s="242" t="n">
        <f aca="false">J14-I14</f>
        <v>0.0289000000000001</v>
      </c>
      <c r="L14" s="121" t="n">
        <v>31.12</v>
      </c>
      <c r="M14" s="121" t="n">
        <v>25.59</v>
      </c>
      <c r="N14" s="128"/>
      <c r="O14" s="128"/>
      <c r="P14" s="243" t="n">
        <f aca="false">K14*L14/100</f>
        <v>0.00899368000000005</v>
      </c>
      <c r="Q14" s="122" t="n">
        <f aca="false">1000*K14/H14</f>
        <v>1.53663736953205</v>
      </c>
      <c r="R14" s="122"/>
      <c r="S14" s="240"/>
      <c r="T14" s="122" t="n">
        <f aca="false">1000*P14/H14</f>
        <v>0.478201549398374</v>
      </c>
      <c r="U14" s="122"/>
      <c r="V14" s="194"/>
      <c r="W14" s="194" t="n">
        <f aca="false">100*T14/(T14+T34+T54)</f>
        <v>2.21081840064189</v>
      </c>
      <c r="X14" s="246"/>
      <c r="Y14" s="240"/>
      <c r="Z14" s="245"/>
      <c r="AA14" s="245"/>
      <c r="AB14" s="245"/>
      <c r="AC14" s="245"/>
      <c r="AD14" s="240"/>
      <c r="AF14" s="209"/>
      <c r="AG14" s="209"/>
      <c r="AH14" s="209"/>
    </row>
    <row r="15" customFormat="false" ht="12.8" hidden="false" customHeight="false" outlineLevel="0" collapsed="false">
      <c r="B15" s="46"/>
      <c r="C15" s="50" t="s">
        <v>28</v>
      </c>
      <c r="D15" s="64" t="n">
        <v>0</v>
      </c>
      <c r="E15" s="64" t="s">
        <v>114</v>
      </c>
      <c r="F15" s="64" t="n">
        <v>60</v>
      </c>
      <c r="G15" s="64" t="n">
        <v>0</v>
      </c>
      <c r="H15" s="122" t="n">
        <f aca="false">K15+K35+K55</f>
        <v>19.2355</v>
      </c>
      <c r="I15" s="241" t="n">
        <v>5.2292</v>
      </c>
      <c r="J15" s="241" t="n">
        <v>5.2496</v>
      </c>
      <c r="K15" s="242" t="n">
        <f aca="false">J15-I15</f>
        <v>0.0204000000000004</v>
      </c>
      <c r="L15" s="121" t="n">
        <v>32.21</v>
      </c>
      <c r="M15" s="121" t="n">
        <v>23.94</v>
      </c>
      <c r="N15" s="128"/>
      <c r="O15" s="128"/>
      <c r="P15" s="243" t="n">
        <f aca="false">K15*L15/100</f>
        <v>0.00657084000000013</v>
      </c>
      <c r="Q15" s="122" t="n">
        <f aca="false">1000*K15/H15</f>
        <v>1.06053910737961</v>
      </c>
      <c r="R15" s="122"/>
      <c r="S15" s="240"/>
      <c r="T15" s="122" t="n">
        <f aca="false">1000*P15/H15</f>
        <v>0.341599646486971</v>
      </c>
      <c r="U15" s="122"/>
      <c r="V15" s="194"/>
      <c r="W15" s="194" t="n">
        <f aca="false">100*T15/(T15+T35+T55)</f>
        <v>1.56211921525458</v>
      </c>
      <c r="X15" s="122"/>
      <c r="Y15" s="240"/>
      <c r="Z15" s="245"/>
      <c r="AA15" s="245"/>
      <c r="AB15" s="245"/>
      <c r="AC15" s="245"/>
      <c r="AD15" s="240"/>
      <c r="AF15" s="209"/>
      <c r="AG15" s="209"/>
      <c r="AH15" s="209"/>
    </row>
    <row r="16" customFormat="false" ht="12.8" hidden="false" customHeight="false" outlineLevel="0" collapsed="false">
      <c r="B16" s="46"/>
      <c r="C16" s="176" t="s">
        <v>28</v>
      </c>
      <c r="D16" s="247" t="n">
        <v>1</v>
      </c>
      <c r="E16" s="247" t="s">
        <v>103</v>
      </c>
      <c r="F16" s="247" t="n">
        <v>61</v>
      </c>
      <c r="G16" s="247" t="n">
        <v>0</v>
      </c>
      <c r="H16" s="181" t="n">
        <f aca="false">K16+K36+K56</f>
        <v>18.9819</v>
      </c>
      <c r="I16" s="248" t="n">
        <v>5.3099</v>
      </c>
      <c r="J16" s="248" t="n">
        <v>5.33</v>
      </c>
      <c r="K16" s="249" t="n">
        <f aca="false">J16-I16</f>
        <v>0.0201000000000002</v>
      </c>
      <c r="L16" s="179" t="n">
        <v>31.58</v>
      </c>
      <c r="M16" s="179" t="n">
        <v>25.59</v>
      </c>
      <c r="N16" s="250" t="n">
        <f aca="false">AVERAGE(M16:M20)</f>
        <v>25.564</v>
      </c>
      <c r="O16" s="250" t="n">
        <f aca="false">STDEV(M16:M20)</f>
        <v>4.8041887972893</v>
      </c>
      <c r="P16" s="251" t="n">
        <f aca="false">K16*L16/100</f>
        <v>0.00634758000000007</v>
      </c>
      <c r="Q16" s="181" t="n">
        <f aca="false">1000*K16/H16</f>
        <v>1.05890348173788</v>
      </c>
      <c r="R16" s="181" t="n">
        <f aca="false">AVERAGE(Q16:Q20)</f>
        <v>1.66783908881703</v>
      </c>
      <c r="S16" s="252" t="n">
        <f aca="false">STDEV(Q16:Q20)</f>
        <v>0.9309916912803</v>
      </c>
      <c r="T16" s="181" t="n">
        <f aca="false">1000*P16/H16</f>
        <v>0.334401719532822</v>
      </c>
      <c r="U16" s="181" t="n">
        <f aca="false">AVERAGE(T16:T20)</f>
        <v>0.596205134247547</v>
      </c>
      <c r="V16" s="181" t="n">
        <f aca="false">STDEV(T16:T20)</f>
        <v>0.34645315659991</v>
      </c>
      <c r="W16" s="181" t="n">
        <f aca="false">100*T16/(T16+T36+T56)</f>
        <v>1.57847486261662</v>
      </c>
      <c r="X16" s="181" t="n">
        <f aca="false">AVERAGE(W16:W20)</f>
        <v>2.81887105004197</v>
      </c>
      <c r="Y16" s="252" t="n">
        <f aca="false">STDEV(W16:W20)</f>
        <v>1.61455808358882</v>
      </c>
      <c r="Z16" s="253"/>
      <c r="AA16" s="253"/>
      <c r="AB16" s="253"/>
      <c r="AC16" s="253"/>
      <c r="AD16" s="240"/>
      <c r="AF16" s="209"/>
      <c r="AG16" s="209"/>
      <c r="AH16" s="209"/>
    </row>
    <row r="17" customFormat="false" ht="12.8" hidden="false" customHeight="false" outlineLevel="0" collapsed="false">
      <c r="B17" s="46"/>
      <c r="C17" s="50" t="s">
        <v>28</v>
      </c>
      <c r="D17" s="64" t="n">
        <v>1</v>
      </c>
      <c r="E17" s="64" t="s">
        <v>105</v>
      </c>
      <c r="F17" s="64" t="n">
        <v>62</v>
      </c>
      <c r="G17" s="64" t="n">
        <v>0</v>
      </c>
      <c r="H17" s="122" t="n">
        <f aca="false">K17+K37+K57</f>
        <v>19.0768</v>
      </c>
      <c r="I17" s="241" t="n">
        <v>5.2745</v>
      </c>
      <c r="J17" s="241" t="n">
        <v>5.3139</v>
      </c>
      <c r="K17" s="242" t="n">
        <f aca="false">J17-I17</f>
        <v>0.0394000000000005</v>
      </c>
      <c r="L17" s="121" t="n">
        <v>41.23</v>
      </c>
      <c r="M17" s="121" t="n">
        <v>28.66</v>
      </c>
      <c r="N17" s="128"/>
      <c r="O17" s="128"/>
      <c r="P17" s="243" t="n">
        <f aca="false">K17*L17/100</f>
        <v>0.0162446200000002</v>
      </c>
      <c r="Q17" s="122" t="n">
        <f aca="false">1000*K17/H17</f>
        <v>2.06533590539297</v>
      </c>
      <c r="R17" s="122"/>
      <c r="S17" s="240"/>
      <c r="T17" s="122" t="n">
        <f aca="false">1000*P17/H17</f>
        <v>0.85153799379352</v>
      </c>
      <c r="U17" s="122"/>
      <c r="V17" s="194"/>
      <c r="W17" s="194" t="n">
        <f aca="false">100*T17/(T17+T37+T57)</f>
        <v>3.98317762614572</v>
      </c>
      <c r="X17" s="244" t="n">
        <f aca="false">QUARTILE(W16:W20,1)-(1.5*(QUARTILE(W16:W20,3)-QUARTILE(W16:W20,1)))</f>
        <v>-2.02857928267704</v>
      </c>
      <c r="Y17" s="240"/>
      <c r="Z17" s="245"/>
      <c r="AA17" s="245"/>
      <c r="AB17" s="245"/>
      <c r="AC17" s="245"/>
      <c r="AD17" s="240"/>
      <c r="AF17" s="209"/>
      <c r="AG17" s="209"/>
      <c r="AH17" s="209"/>
    </row>
    <row r="18" customFormat="false" ht="12.8" hidden="false" customHeight="false" outlineLevel="0" collapsed="false">
      <c r="B18" s="46"/>
      <c r="C18" s="50" t="s">
        <v>28</v>
      </c>
      <c r="D18" s="64" t="n">
        <v>1</v>
      </c>
      <c r="E18" s="64" t="s">
        <v>108</v>
      </c>
      <c r="F18" s="64" t="n">
        <v>63</v>
      </c>
      <c r="G18" s="64" t="n">
        <v>0</v>
      </c>
      <c r="H18" s="122" t="n">
        <f aca="false">K18+K38+K58</f>
        <v>18.9259</v>
      </c>
      <c r="I18" s="241" t="n">
        <v>5.253</v>
      </c>
      <c r="J18" s="241" t="n">
        <v>5.3052</v>
      </c>
      <c r="K18" s="242" t="n">
        <f aca="false">J18-I18</f>
        <v>0.0522</v>
      </c>
      <c r="L18" s="121" t="n">
        <v>33.48</v>
      </c>
      <c r="M18" s="121" t="n">
        <v>31.51</v>
      </c>
      <c r="N18" s="128"/>
      <c r="O18" s="128"/>
      <c r="P18" s="243" t="n">
        <f aca="false">K18*L18/100</f>
        <v>0.01747656</v>
      </c>
      <c r="Q18" s="122" t="n">
        <f aca="false">1000*K18/H18</f>
        <v>2.75812510897765</v>
      </c>
      <c r="R18" s="122"/>
      <c r="S18" s="240"/>
      <c r="T18" s="122" t="n">
        <f aca="false">1000*P18/H18</f>
        <v>0.923420286485716</v>
      </c>
      <c r="U18" s="122"/>
      <c r="V18" s="194"/>
      <c r="W18" s="194" t="n">
        <f aca="false">100*T18/(T18+T38+T58)</f>
        <v>4.25121522211268</v>
      </c>
      <c r="X18" s="244" t="n">
        <f aca="false">QUARTILE(W16:W20,3)+(1.5*(QUARTILE(W16:W20,3)-QUARTILE(W16:W20,1)))</f>
        <v>7.59023177143938</v>
      </c>
      <c r="Y18" s="240"/>
      <c r="Z18" s="245"/>
      <c r="AA18" s="245"/>
      <c r="AB18" s="245"/>
      <c r="AC18" s="245"/>
      <c r="AD18" s="240"/>
      <c r="AF18" s="209"/>
      <c r="AG18" s="209"/>
      <c r="AH18" s="209"/>
    </row>
    <row r="19" customFormat="false" ht="12.8" hidden="false" customHeight="false" outlineLevel="0" collapsed="false">
      <c r="B19" s="46"/>
      <c r="C19" s="50" t="s">
        <v>28</v>
      </c>
      <c r="D19" s="64" t="n">
        <v>1</v>
      </c>
      <c r="E19" s="64" t="s">
        <v>111</v>
      </c>
      <c r="F19" s="64" t="n">
        <v>64</v>
      </c>
      <c r="G19" s="64" t="n">
        <v>0</v>
      </c>
      <c r="H19" s="122" t="n">
        <f aca="false">K19+K39+K59</f>
        <v>18.8677</v>
      </c>
      <c r="I19" s="241" t="n">
        <v>5.2906</v>
      </c>
      <c r="J19" s="241" t="n">
        <v>5.2982</v>
      </c>
      <c r="K19" s="242" t="n">
        <f aca="false">J19-I19</f>
        <v>0.00759999999999916</v>
      </c>
      <c r="L19" s="121" t="n">
        <v>32.11</v>
      </c>
      <c r="M19" s="121" t="n">
        <v>22.8</v>
      </c>
      <c r="N19" s="128"/>
      <c r="O19" s="128"/>
      <c r="P19" s="243" t="n">
        <f aca="false">K19*L19/100</f>
        <v>0.00244035999999973</v>
      </c>
      <c r="Q19" s="122" t="n">
        <f aca="false">1000*K19/H19</f>
        <v>0.402804793376997</v>
      </c>
      <c r="R19" s="122"/>
      <c r="S19" s="240"/>
      <c r="T19" s="122" t="n">
        <f aca="false">1000*P19/H19</f>
        <v>0.129340619153354</v>
      </c>
      <c r="U19" s="122"/>
      <c r="V19" s="194"/>
      <c r="W19" s="194" t="n">
        <f aca="false">100*T19/(T19+T39+T59)</f>
        <v>0.630499472848363</v>
      </c>
      <c r="X19" s="246"/>
      <c r="Y19" s="240"/>
      <c r="Z19" s="245"/>
      <c r="AA19" s="245"/>
      <c r="AB19" s="245"/>
      <c r="AC19" s="245"/>
      <c r="AD19" s="240"/>
      <c r="AF19" s="209"/>
      <c r="AG19" s="209"/>
      <c r="AH19" s="209"/>
    </row>
    <row r="20" customFormat="false" ht="12.8" hidden="false" customHeight="false" outlineLevel="0" collapsed="false">
      <c r="B20" s="46"/>
      <c r="C20" s="50" t="s">
        <v>28</v>
      </c>
      <c r="D20" s="64" t="n">
        <v>1</v>
      </c>
      <c r="E20" s="64" t="s">
        <v>114</v>
      </c>
      <c r="F20" s="64" t="n">
        <v>65</v>
      </c>
      <c r="G20" s="255" t="n">
        <v>0</v>
      </c>
      <c r="H20" s="194" t="n">
        <f aca="false">K20+K40+K60</f>
        <v>18.9871</v>
      </c>
      <c r="I20" s="241" t="n">
        <v>5.3619</v>
      </c>
      <c r="J20" s="241" t="n">
        <v>5.4009</v>
      </c>
      <c r="K20" s="242" t="n">
        <f aca="false">J20-I20</f>
        <v>0.0389999999999997</v>
      </c>
      <c r="L20" s="121" t="n">
        <v>36.14</v>
      </c>
      <c r="M20" s="121" t="n">
        <v>19.26</v>
      </c>
      <c r="N20" s="128"/>
      <c r="O20" s="128"/>
      <c r="P20" s="243" t="n">
        <f aca="false">K20*L20/100</f>
        <v>0.0140945999999999</v>
      </c>
      <c r="Q20" s="194" t="n">
        <f aca="false">1000*K20/H20</f>
        <v>2.05402615459969</v>
      </c>
      <c r="R20" s="194"/>
      <c r="S20" s="240"/>
      <c r="T20" s="194" t="n">
        <f aca="false">1000*P20/H20</f>
        <v>0.742325052272326</v>
      </c>
      <c r="U20" s="194"/>
      <c r="V20" s="194"/>
      <c r="W20" s="194" t="n">
        <f aca="false">100*T20/(T20+T40+T60)</f>
        <v>3.65098806648647</v>
      </c>
      <c r="X20" s="194"/>
      <c r="Y20" s="240"/>
      <c r="Z20" s="245"/>
      <c r="AA20" s="245"/>
      <c r="AB20" s="245"/>
      <c r="AC20" s="245"/>
      <c r="AD20" s="240"/>
      <c r="AF20" s="209"/>
      <c r="AG20" s="209"/>
      <c r="AH20" s="209"/>
    </row>
    <row r="21" customFormat="false" ht="12.8" hidden="false" customHeight="false" outlineLevel="0" collapsed="false">
      <c r="B21" s="46"/>
      <c r="C21" s="176" t="s">
        <v>28</v>
      </c>
      <c r="D21" s="247" t="n">
        <v>4</v>
      </c>
      <c r="E21" s="247" t="s">
        <v>103</v>
      </c>
      <c r="F21" s="247" t="n">
        <v>66</v>
      </c>
      <c r="G21" s="247" t="n">
        <v>0</v>
      </c>
      <c r="H21" s="181" t="n">
        <f aca="false">K21+K41+K61</f>
        <v>19.0326</v>
      </c>
      <c r="I21" s="248" t="n">
        <v>5.311</v>
      </c>
      <c r="J21" s="248" t="n">
        <v>5.3253</v>
      </c>
      <c r="K21" s="249" t="n">
        <f aca="false">J21-I21</f>
        <v>0.0143000000000004</v>
      </c>
      <c r="L21" s="179" t="n">
        <v>53.8</v>
      </c>
      <c r="M21" s="179" t="n">
        <v>71.58</v>
      </c>
      <c r="N21" s="250" t="n">
        <f aca="false">AVERAGE(M21:M25)</f>
        <v>34.238</v>
      </c>
      <c r="O21" s="250" t="n">
        <f aca="false">STDEV(M21:M25)</f>
        <v>21.7700314652965</v>
      </c>
      <c r="P21" s="251" t="n">
        <f aca="false">K21*L21/100</f>
        <v>0.00769340000000023</v>
      </c>
      <c r="Q21" s="181" t="n">
        <f aca="false">1000*K21/H21</f>
        <v>0.751342433508844</v>
      </c>
      <c r="R21" s="181" t="n">
        <f aca="false">AVERAGE(Q21:Q25)</f>
        <v>1.92764919760042</v>
      </c>
      <c r="S21" s="252" t="n">
        <f aca="false">STDEV(Q21:Q25)</f>
        <v>1.48993156755462</v>
      </c>
      <c r="T21" s="181" t="n">
        <f aca="false">1000*P21/H21</f>
        <v>0.404222229227758</v>
      </c>
      <c r="U21" s="181" t="n">
        <f aca="false">AVERAGE(T21:T25)</f>
        <v>0.502145064373677</v>
      </c>
      <c r="V21" s="181" t="n">
        <f aca="false">STDEV(T21:T25)</f>
        <v>0.344177027477817</v>
      </c>
      <c r="W21" s="181" t="n">
        <f aca="false">100*T21/(T21+T41+T61)</f>
        <v>2.00960023337636</v>
      </c>
      <c r="X21" s="181" t="n">
        <f aca="false">AVERAGE(W21:W25)</f>
        <v>2.45585806743016</v>
      </c>
      <c r="Y21" s="252" t="n">
        <f aca="false">STDEV(W21:W25)</f>
        <v>1.68068587113993</v>
      </c>
      <c r="Z21" s="253"/>
      <c r="AA21" s="253"/>
      <c r="AB21" s="253"/>
      <c r="AC21" s="253"/>
      <c r="AD21" s="240"/>
      <c r="AF21" s="209"/>
      <c r="AG21" s="209"/>
      <c r="AH21" s="254"/>
    </row>
    <row r="22" customFormat="false" ht="12.8" hidden="false" customHeight="false" outlineLevel="0" collapsed="false">
      <c r="B22" s="46"/>
      <c r="C22" s="50" t="s">
        <v>28</v>
      </c>
      <c r="D22" s="64" t="n">
        <v>4</v>
      </c>
      <c r="E22" s="64" t="s">
        <v>105</v>
      </c>
      <c r="F22" s="64" t="n">
        <v>67</v>
      </c>
      <c r="G22" s="64" t="n">
        <v>0</v>
      </c>
      <c r="H22" s="122" t="n">
        <f aca="false">K22+K42+K62</f>
        <v>19.1585</v>
      </c>
      <c r="I22" s="241" t="n">
        <v>5.3152</v>
      </c>
      <c r="J22" s="241" t="n">
        <v>5.3373</v>
      </c>
      <c r="K22" s="242" t="n">
        <f aca="false">J22-I22</f>
        <v>0.0221</v>
      </c>
      <c r="L22" s="121" t="n">
        <v>21.16</v>
      </c>
      <c r="M22" s="121" t="n">
        <v>17.61</v>
      </c>
      <c r="N22" s="128"/>
      <c r="O22" s="128"/>
      <c r="P22" s="243" t="n">
        <f aca="false">K22*L22/100</f>
        <v>0.00467636</v>
      </c>
      <c r="Q22" s="122" t="n">
        <f aca="false">1000*K22/H22</f>
        <v>1.15353498447165</v>
      </c>
      <c r="R22" s="122"/>
      <c r="S22" s="240"/>
      <c r="T22" s="122" t="n">
        <f aca="false">1000*P22/H22</f>
        <v>0.2440880027142</v>
      </c>
      <c r="U22" s="122"/>
      <c r="V22" s="194"/>
      <c r="W22" s="194" t="n">
        <f aca="false">100*T22/(T22+T42+T62)</f>
        <v>1.19543126822375</v>
      </c>
      <c r="X22" s="244" t="n">
        <f aca="false">QUARTILE(W21:W25,1)-(1.5*(QUARTILE(W21:W25,3)-QUARTILE(W21:W25,1)))</f>
        <v>1.12132668240965</v>
      </c>
      <c r="Y22" s="240"/>
      <c r="Z22" s="245"/>
      <c r="AA22" s="245"/>
      <c r="AB22" s="245"/>
      <c r="AC22" s="245"/>
      <c r="AD22" s="240"/>
      <c r="AF22" s="209"/>
      <c r="AG22" s="209"/>
      <c r="AH22" s="209"/>
    </row>
    <row r="23" customFormat="false" ht="12.8" hidden="false" customHeight="false" outlineLevel="0" collapsed="false">
      <c r="B23" s="46"/>
      <c r="C23" s="50" t="s">
        <v>28</v>
      </c>
      <c r="D23" s="64" t="n">
        <v>4</v>
      </c>
      <c r="E23" s="64" t="s">
        <v>108</v>
      </c>
      <c r="F23" s="64" t="n">
        <v>68</v>
      </c>
      <c r="G23" s="64" t="n">
        <v>0</v>
      </c>
      <c r="H23" s="122" t="n">
        <f aca="false">K23+K43+K63</f>
        <v>19.1694</v>
      </c>
      <c r="I23" s="241" t="n">
        <v>5.2578</v>
      </c>
      <c r="J23" s="241" t="n">
        <v>5.2869</v>
      </c>
      <c r="K23" s="242" t="n">
        <f aca="false">J23-I23</f>
        <v>0.0291000000000006</v>
      </c>
      <c r="L23" s="121" t="n">
        <v>22.33</v>
      </c>
      <c r="M23" s="121" t="n">
        <v>30.53</v>
      </c>
      <c r="N23" s="128"/>
      <c r="O23" s="128"/>
      <c r="P23" s="243" t="n">
        <f aca="false">K23*L23/100</f>
        <v>0.00649803000000013</v>
      </c>
      <c r="Q23" s="122" t="n">
        <f aca="false">1000*K23/H23</f>
        <v>1.51804438323581</v>
      </c>
      <c r="R23" s="122"/>
      <c r="S23" s="240"/>
      <c r="T23" s="122" t="n">
        <f aca="false">1000*P23/H23</f>
        <v>0.338979310776557</v>
      </c>
      <c r="U23" s="122"/>
      <c r="V23" s="194"/>
      <c r="W23" s="194" t="n">
        <f aca="false">100*T23/(T23+T43+T63)</f>
        <v>1.65746862551111</v>
      </c>
      <c r="X23" s="244" t="n">
        <f aca="false">QUARTILE(W21:W25,3)+(1.5*(QUARTILE(W21:W25,3)-QUARTILE(W21:W25,1)))</f>
        <v>2.55103853068021</v>
      </c>
      <c r="Y23" s="240"/>
      <c r="Z23" s="245"/>
      <c r="AA23" s="245"/>
      <c r="AB23" s="245"/>
      <c r="AC23" s="245"/>
      <c r="AD23" s="240"/>
      <c r="AF23" s="209"/>
      <c r="AG23" s="209"/>
      <c r="AH23" s="209"/>
    </row>
    <row r="24" customFormat="false" ht="12.8" hidden="false" customHeight="false" outlineLevel="0" collapsed="false">
      <c r="B24" s="46"/>
      <c r="C24" s="50" t="s">
        <v>28</v>
      </c>
      <c r="D24" s="64" t="n">
        <v>4</v>
      </c>
      <c r="E24" s="64" t="s">
        <v>111</v>
      </c>
      <c r="F24" s="64" t="n">
        <v>69</v>
      </c>
      <c r="G24" s="64" t="n">
        <v>0</v>
      </c>
      <c r="H24" s="122" t="n">
        <f aca="false">K24+K44+K64</f>
        <v>18.8389</v>
      </c>
      <c r="I24" s="241" t="n">
        <v>5.316</v>
      </c>
      <c r="J24" s="241" t="n">
        <v>5.401</v>
      </c>
      <c r="K24" s="242" t="n">
        <f aca="false">J24-I24</f>
        <v>0.085</v>
      </c>
      <c r="L24" s="121" t="n">
        <v>24.5</v>
      </c>
      <c r="M24" s="121" t="n">
        <v>19.97</v>
      </c>
      <c r="N24" s="128"/>
      <c r="O24" s="128"/>
      <c r="P24" s="243" t="n">
        <f aca="false">K24*L24/100</f>
        <v>0.020825</v>
      </c>
      <c r="Q24" s="122" t="n">
        <f aca="false">1000*K24/H24</f>
        <v>4.51194071840712</v>
      </c>
      <c r="R24" s="122"/>
      <c r="S24" s="240"/>
      <c r="T24" s="122" t="n">
        <f aca="false">1000*P24/H24</f>
        <v>1.10542547600975</v>
      </c>
      <c r="U24" s="122"/>
      <c r="V24" s="194"/>
      <c r="W24" s="256" t="n">
        <f aca="false">100*T24/(T24+T44+T64)</f>
        <v>5.40189362246084</v>
      </c>
      <c r="X24" s="246"/>
      <c r="Y24" s="240"/>
      <c r="Z24" s="245"/>
      <c r="AA24" s="245"/>
      <c r="AB24" s="245"/>
      <c r="AC24" s="245"/>
      <c r="AD24" s="240"/>
      <c r="AF24" s="209"/>
      <c r="AG24" s="209"/>
      <c r="AH24" s="209"/>
    </row>
    <row r="25" customFormat="false" ht="12.8" hidden="false" customHeight="false" outlineLevel="0" collapsed="false">
      <c r="B25" s="46"/>
      <c r="C25" s="50" t="s">
        <v>28</v>
      </c>
      <c r="D25" s="64" t="n">
        <v>4</v>
      </c>
      <c r="E25" s="64" t="s">
        <v>114</v>
      </c>
      <c r="F25" s="64" t="n">
        <v>70</v>
      </c>
      <c r="G25" s="255" t="n">
        <v>0</v>
      </c>
      <c r="H25" s="194" t="n">
        <f aca="false">K25+K45+K65</f>
        <v>19.3145</v>
      </c>
      <c r="I25" s="241" t="n">
        <v>5.2461</v>
      </c>
      <c r="J25" s="241" t="n">
        <v>5.279</v>
      </c>
      <c r="K25" s="242" t="n">
        <f aca="false">J25-I25</f>
        <v>0.0328999999999997</v>
      </c>
      <c r="L25" s="121" t="n">
        <v>24.54</v>
      </c>
      <c r="M25" s="121" t="n">
        <v>31.5</v>
      </c>
      <c r="N25" s="128"/>
      <c r="O25" s="128"/>
      <c r="P25" s="243" t="n">
        <f aca="false">K25*L25/100</f>
        <v>0.00807365999999993</v>
      </c>
      <c r="Q25" s="194" t="n">
        <f aca="false">1000*K25/H25</f>
        <v>1.70338346837866</v>
      </c>
      <c r="R25" s="194"/>
      <c r="S25" s="240"/>
      <c r="T25" s="194" t="n">
        <f aca="false">1000*P25/H25</f>
        <v>0.418010303140124</v>
      </c>
      <c r="U25" s="194"/>
      <c r="V25" s="194"/>
      <c r="W25" s="194" t="n">
        <f aca="false">100*T25/(T25+T45+T65)</f>
        <v>2.01489658757875</v>
      </c>
      <c r="X25" s="194"/>
      <c r="Y25" s="240"/>
      <c r="Z25" s="245"/>
      <c r="AA25" s="245"/>
      <c r="AB25" s="245"/>
      <c r="AC25" s="245"/>
      <c r="AD25" s="240"/>
      <c r="AF25" s="209"/>
      <c r="AG25" s="209"/>
      <c r="AH25" s="209"/>
    </row>
    <row r="26" customFormat="false" ht="12.8" hidden="false" customHeight="false" outlineLevel="0" collapsed="false">
      <c r="B26" s="46"/>
      <c r="C26" s="96" t="s">
        <v>28</v>
      </c>
      <c r="D26" s="234" t="s">
        <v>158</v>
      </c>
      <c r="E26" s="59" t="s">
        <v>103</v>
      </c>
      <c r="F26" s="59" t="n">
        <v>51</v>
      </c>
      <c r="G26" s="59" t="n">
        <v>50</v>
      </c>
      <c r="H26" s="212" t="n">
        <f aca="false">H6</f>
        <v>18.7202</v>
      </c>
      <c r="I26" s="235" t="n">
        <v>5.2909</v>
      </c>
      <c r="J26" s="235" t="n">
        <v>5.3217</v>
      </c>
      <c r="K26" s="236" t="n">
        <f aca="false">J26-I26</f>
        <v>0.0308000000000002</v>
      </c>
      <c r="L26" s="237" t="n">
        <v>44.2212</v>
      </c>
      <c r="M26" s="237" t="n">
        <v>23.4271621379847</v>
      </c>
      <c r="N26" s="238" t="n">
        <f aca="false">AVERAGE(M26:M30)</f>
        <v>23.3431719049098</v>
      </c>
      <c r="O26" s="238" t="n">
        <f aca="false">STDEV(M26:M30)</f>
        <v>2.70392968746359</v>
      </c>
      <c r="P26" s="239" t="n">
        <f aca="false">K26*L26/100</f>
        <v>0.0136201296000001</v>
      </c>
      <c r="Q26" s="212" t="n">
        <f aca="false">1000*K26/H26</f>
        <v>1.64528156750463</v>
      </c>
      <c r="R26" s="212" t="n">
        <f aca="false">AVERAGE(Q26:Q30)</f>
        <v>1.88370371465599</v>
      </c>
      <c r="S26" s="215" t="n">
        <f aca="false">STDEV(Q26:Q30)</f>
        <v>1.1720368404081</v>
      </c>
      <c r="T26" s="212" t="n">
        <f aca="false">1000*P26/H26</f>
        <v>0.727563252529357</v>
      </c>
      <c r="U26" s="212" t="n">
        <f aca="false">AVERAGE(T26:T30)</f>
        <v>0.857095079880488</v>
      </c>
      <c r="V26" s="212" t="n">
        <f aca="false">STDEV(T26:T30)</f>
        <v>0.567583248354943</v>
      </c>
      <c r="W26" s="212" t="n">
        <f aca="false">100*T26/(T6+T26+T46)</f>
        <v>3.53586565042121</v>
      </c>
      <c r="X26" s="212" t="n">
        <f aca="false">AVERAGE(W26:W30)</f>
        <v>4.21244746883388</v>
      </c>
      <c r="Y26" s="215" t="n">
        <f aca="false">STDEV(W26:W30)</f>
        <v>2.61495778702191</v>
      </c>
      <c r="Z26" s="213"/>
      <c r="AA26" s="257" t="n">
        <f aca="false">TTEST(W26:W30,W31:W35,2,2)</f>
        <v>0.00208544014016781</v>
      </c>
      <c r="AB26" s="257" t="n">
        <f aca="false">TTEST(W26:W30,W36:W40,2,2)</f>
        <v>0.0100158993955616</v>
      </c>
      <c r="AC26" s="213" t="n">
        <f aca="false">TTEST(W26:W30,W41:W45,2,2)</f>
        <v>0.0932035685973411</v>
      </c>
      <c r="AD26" s="240"/>
    </row>
    <row r="27" customFormat="false" ht="12.8" hidden="false" customHeight="false" outlineLevel="0" collapsed="false">
      <c r="B27" s="46"/>
      <c r="C27" s="50" t="s">
        <v>28</v>
      </c>
      <c r="D27" s="64" t="s">
        <v>158</v>
      </c>
      <c r="E27" s="64" t="s">
        <v>105</v>
      </c>
      <c r="F27" s="64" t="n">
        <v>52</v>
      </c>
      <c r="G27" s="64" t="n">
        <v>50</v>
      </c>
      <c r="H27" s="122" t="n">
        <f aca="false">H7</f>
        <v>19.1794</v>
      </c>
      <c r="I27" s="241" t="n">
        <v>5.2638</v>
      </c>
      <c r="J27" s="241" t="n">
        <v>5.2836</v>
      </c>
      <c r="K27" s="242" t="n">
        <f aca="false">J27-I27</f>
        <v>0.0198</v>
      </c>
      <c r="L27" s="121" t="n">
        <v>45.0575</v>
      </c>
      <c r="M27" s="121" t="n">
        <v>26.8436440241299</v>
      </c>
      <c r="N27" s="128"/>
      <c r="O27" s="128"/>
      <c r="P27" s="243" t="n">
        <f aca="false">K27*L27/100</f>
        <v>0.00892138500000002</v>
      </c>
      <c r="Q27" s="122" t="n">
        <f aca="false">1000*K27/H27</f>
        <v>1.03235763371117</v>
      </c>
      <c r="R27" s="122"/>
      <c r="S27" s="240"/>
      <c r="T27" s="122" t="n">
        <f aca="false">1000*P27/H27</f>
        <v>0.465154540809411</v>
      </c>
      <c r="U27" s="122"/>
      <c r="V27" s="194"/>
      <c r="W27" s="194" t="n">
        <f aca="false">100*T27/(T7+T27+T47)</f>
        <v>2.296841446372</v>
      </c>
      <c r="X27" s="244" t="n">
        <f aca="false">QUARTILE(W26:W30,1)-(1.5*(QUARTILE(W26:W30,3)-QUARTILE(W26:W30,1)))</f>
        <v>-0.784318918272461</v>
      </c>
      <c r="Y27" s="240"/>
      <c r="Z27" s="245"/>
      <c r="AA27" s="245"/>
      <c r="AB27" s="245"/>
      <c r="AC27" s="245"/>
      <c r="AD27" s="240"/>
    </row>
    <row r="28" customFormat="false" ht="12.8" hidden="false" customHeight="false" outlineLevel="0" collapsed="false">
      <c r="B28" s="46"/>
      <c r="C28" s="50" t="s">
        <v>28</v>
      </c>
      <c r="D28" s="64" t="s">
        <v>158</v>
      </c>
      <c r="E28" s="64" t="s">
        <v>108</v>
      </c>
      <c r="F28" s="64" t="n">
        <v>53</v>
      </c>
      <c r="G28" s="64" t="n">
        <v>50</v>
      </c>
      <c r="H28" s="122" t="n">
        <f aca="false">H8</f>
        <v>19.2459</v>
      </c>
      <c r="I28" s="241" t="n">
        <v>5.2704</v>
      </c>
      <c r="J28" s="241" t="n">
        <v>5.2908</v>
      </c>
      <c r="K28" s="242" t="n">
        <f aca="false">J28-I28</f>
        <v>0.0203999999999995</v>
      </c>
      <c r="L28" s="121" t="n">
        <v>42.3317</v>
      </c>
      <c r="M28" s="121" t="n">
        <v>23.6066588637196</v>
      </c>
      <c r="N28" s="128"/>
      <c r="O28" s="128"/>
      <c r="P28" s="243" t="n">
        <f aca="false">K28*L28/100</f>
        <v>0.0086356667999998</v>
      </c>
      <c r="Q28" s="122" t="n">
        <f aca="false">1000*K28/H28</f>
        <v>1.05996601873643</v>
      </c>
      <c r="R28" s="122"/>
      <c r="S28" s="240"/>
      <c r="T28" s="122" t="n">
        <f aca="false">1000*P28/H28</f>
        <v>0.448701635153451</v>
      </c>
      <c r="U28" s="122"/>
      <c r="V28" s="194"/>
      <c r="W28" s="194" t="n">
        <f aca="false">100*T28/(T8+T28+T48)</f>
        <v>2.26161607297583</v>
      </c>
      <c r="X28" s="244" t="n">
        <f aca="false">QUARTILE(W26:W30,3)+(1.5*(QUARTILE(W26:W30,3)-QUARTILE(W26:W30,1)))</f>
        <v>7.43210872077944</v>
      </c>
      <c r="Y28" s="240"/>
      <c r="Z28" s="245"/>
      <c r="AA28" s="245"/>
      <c r="AB28" s="245"/>
      <c r="AC28" s="245"/>
      <c r="AD28" s="240"/>
    </row>
    <row r="29" customFormat="false" ht="12.8" hidden="false" customHeight="false" outlineLevel="0" collapsed="false">
      <c r="B29" s="46"/>
      <c r="C29" s="50" t="s">
        <v>28</v>
      </c>
      <c r="D29" s="64" t="s">
        <v>158</v>
      </c>
      <c r="E29" s="64" t="s">
        <v>111</v>
      </c>
      <c r="F29" s="64" t="n">
        <v>54</v>
      </c>
      <c r="G29" s="64" t="n">
        <v>50</v>
      </c>
      <c r="H29" s="122" t="n">
        <f aca="false">H9</f>
        <v>19.2023</v>
      </c>
      <c r="I29" s="241" t="n">
        <v>5.3095</v>
      </c>
      <c r="J29" s="241" t="n">
        <v>5.3842</v>
      </c>
      <c r="K29" s="242" t="n">
        <f aca="false">J29-I29</f>
        <v>0.0747</v>
      </c>
      <c r="L29" s="121" t="n">
        <v>47.08</v>
      </c>
      <c r="M29" s="121" t="n">
        <v>23.6</v>
      </c>
      <c r="N29" s="128"/>
      <c r="O29" s="128"/>
      <c r="P29" s="243" t="n">
        <f aca="false">K29*L29/100</f>
        <v>0.03516876</v>
      </c>
      <c r="Q29" s="122" t="n">
        <f aca="false">1000*K29/H29</f>
        <v>3.89015899137082</v>
      </c>
      <c r="R29" s="122"/>
      <c r="S29" s="240"/>
      <c r="T29" s="122" t="n">
        <f aca="false">1000*P29/H29</f>
        <v>1.83148685313738</v>
      </c>
      <c r="U29" s="122"/>
      <c r="V29" s="194"/>
      <c r="W29" s="258" t="n">
        <f aca="false">100*T29/(T9+T29+T49)</f>
        <v>8.61696581826536</v>
      </c>
      <c r="X29" s="246"/>
      <c r="Y29" s="240"/>
      <c r="Z29" s="245"/>
      <c r="AA29" s="245"/>
      <c r="AB29" s="245"/>
      <c r="AC29" s="245"/>
      <c r="AD29" s="240"/>
    </row>
    <row r="30" customFormat="false" ht="12.8" hidden="false" customHeight="false" outlineLevel="0" collapsed="false">
      <c r="B30" s="46"/>
      <c r="C30" s="50" t="s">
        <v>28</v>
      </c>
      <c r="D30" s="64" t="s">
        <v>158</v>
      </c>
      <c r="E30" s="64" t="s">
        <v>114</v>
      </c>
      <c r="F30" s="64" t="n">
        <v>55</v>
      </c>
      <c r="G30" s="64" t="n">
        <v>50</v>
      </c>
      <c r="H30" s="122" t="n">
        <f aca="false">H10</f>
        <v>18.7072</v>
      </c>
      <c r="I30" s="241" t="n">
        <v>5.2682</v>
      </c>
      <c r="J30" s="241" t="n">
        <v>5.3017</v>
      </c>
      <c r="K30" s="242" t="n">
        <f aca="false">J30-I30</f>
        <v>0.0335000000000001</v>
      </c>
      <c r="L30" s="121" t="n">
        <v>45.3758</v>
      </c>
      <c r="M30" s="121" t="n">
        <v>19.2383944987149</v>
      </c>
      <c r="N30" s="128"/>
      <c r="O30" s="128"/>
      <c r="P30" s="243" t="n">
        <f aca="false">K30*L30/100</f>
        <v>0.015200893</v>
      </c>
      <c r="Q30" s="122" t="n">
        <f aca="false">1000*K30/H30</f>
        <v>1.7907543619569</v>
      </c>
      <c r="R30" s="122"/>
      <c r="S30" s="240"/>
      <c r="T30" s="122" t="n">
        <f aca="false">1000*P30/H30</f>
        <v>0.812569117772838</v>
      </c>
      <c r="U30" s="122"/>
      <c r="V30" s="194"/>
      <c r="W30" s="194" t="n">
        <f aca="false">100*T30/(T10+T30+T50)</f>
        <v>4.35094835613498</v>
      </c>
      <c r="X30" s="122"/>
      <c r="Y30" s="240"/>
      <c r="Z30" s="245"/>
      <c r="AA30" s="245"/>
      <c r="AB30" s="245"/>
      <c r="AC30" s="245"/>
      <c r="AD30" s="240"/>
    </row>
    <row r="31" customFormat="false" ht="12.8" hidden="false" customHeight="false" outlineLevel="0" collapsed="false">
      <c r="B31" s="46"/>
      <c r="C31" s="176" t="s">
        <v>28</v>
      </c>
      <c r="D31" s="247" t="n">
        <v>0</v>
      </c>
      <c r="E31" s="247" t="s">
        <v>103</v>
      </c>
      <c r="F31" s="247" t="n">
        <v>56</v>
      </c>
      <c r="G31" s="247" t="n">
        <v>50</v>
      </c>
      <c r="H31" s="181" t="n">
        <f aca="false">H11</f>
        <v>18.8584</v>
      </c>
      <c r="I31" s="248" t="n">
        <v>5.2909</v>
      </c>
      <c r="J31" s="248" t="n">
        <v>5.379</v>
      </c>
      <c r="K31" s="249" t="n">
        <f aca="false">J31-I31</f>
        <v>0.0880999999999998</v>
      </c>
      <c r="L31" s="179" t="n">
        <v>41.97</v>
      </c>
      <c r="M31" s="179" t="n">
        <v>17.71</v>
      </c>
      <c r="N31" s="250" t="n">
        <f aca="false">AVERAGE(M31:M35)</f>
        <v>19.152</v>
      </c>
      <c r="O31" s="250" t="n">
        <f aca="false">STDEV(M31:M35)</f>
        <v>1.08872402380034</v>
      </c>
      <c r="P31" s="251" t="n">
        <f aca="false">K31*L31/100</f>
        <v>0.0369755699999999</v>
      </c>
      <c r="Q31" s="181" t="n">
        <f aca="false">1000*K31/H31</f>
        <v>4.67165825308615</v>
      </c>
      <c r="R31" s="181" t="n">
        <f aca="false">AVERAGE(Q31:Q35)</f>
        <v>5.10025878647817</v>
      </c>
      <c r="S31" s="252" t="n">
        <f aca="false">STDEV(Q31:Q35)</f>
        <v>0.716961442442628</v>
      </c>
      <c r="T31" s="181" t="n">
        <f aca="false">1000*P31/H31</f>
        <v>1.96069496882026</v>
      </c>
      <c r="U31" s="181" t="n">
        <f aca="false">AVERAGE(T31:T35)</f>
        <v>2.1364855810535</v>
      </c>
      <c r="V31" s="181" t="n">
        <f aca="false">STDEV(T31:T35)</f>
        <v>0.307525614075947</v>
      </c>
      <c r="W31" s="181" t="n">
        <f aca="false">100*T31/(T11+T31+T51)</f>
        <v>9.76279068244643</v>
      </c>
      <c r="X31" s="181" t="n">
        <f aca="false">AVERAGE(W31:W35)</f>
        <v>10.0130530154525</v>
      </c>
      <c r="Y31" s="252" t="n">
        <f aca="false">STDEV(W31:W35)</f>
        <v>1.25888986908259</v>
      </c>
      <c r="Z31" s="253"/>
      <c r="AA31" s="253"/>
      <c r="AB31" s="253"/>
      <c r="AC31" s="253"/>
      <c r="AD31" s="240"/>
    </row>
    <row r="32" customFormat="false" ht="12.8" hidden="false" customHeight="false" outlineLevel="0" collapsed="false">
      <c r="B32" s="46"/>
      <c r="C32" s="50" t="s">
        <v>28</v>
      </c>
      <c r="D32" s="64" t="n">
        <v>0</v>
      </c>
      <c r="E32" s="64" t="s">
        <v>105</v>
      </c>
      <c r="F32" s="64" t="n">
        <v>57</v>
      </c>
      <c r="G32" s="64" t="n">
        <v>50</v>
      </c>
      <c r="H32" s="122" t="n">
        <f aca="false">H12</f>
        <v>18.9327</v>
      </c>
      <c r="I32" s="241" t="n">
        <v>5.382</v>
      </c>
      <c r="J32" s="241" t="n">
        <v>5.4698</v>
      </c>
      <c r="K32" s="242" t="n">
        <f aca="false">J32-I32</f>
        <v>0.0878000000000005</v>
      </c>
      <c r="L32" s="121" t="n">
        <v>41.75</v>
      </c>
      <c r="M32" s="121" t="n">
        <v>18.49</v>
      </c>
      <c r="N32" s="128"/>
      <c r="O32" s="128"/>
      <c r="P32" s="243" t="n">
        <f aca="false">K32*L32/100</f>
        <v>0.0366565000000002</v>
      </c>
      <c r="Q32" s="122" t="n">
        <f aca="false">1000*K32/H32</f>
        <v>4.63747907060274</v>
      </c>
      <c r="R32" s="122"/>
      <c r="S32" s="240"/>
      <c r="T32" s="122" t="n">
        <f aca="false">1000*P32/H32</f>
        <v>1.93614751197664</v>
      </c>
      <c r="U32" s="122"/>
      <c r="V32" s="194"/>
      <c r="W32" s="194" t="n">
        <f aca="false">100*T32/(T12+T32+T52)</f>
        <v>9.17460101817264</v>
      </c>
      <c r="X32" s="244" t="n">
        <f aca="false">QUARTILE(W31:W35,1)-(1.5*(QUARTILE(W31:W35,3)-QUARTILE(W31:W35,1)))</f>
        <v>8.21106767030776</v>
      </c>
      <c r="Y32" s="240"/>
      <c r="Z32" s="245"/>
      <c r="AA32" s="245"/>
      <c r="AB32" s="245"/>
      <c r="AC32" s="245"/>
      <c r="AD32" s="240"/>
    </row>
    <row r="33" customFormat="false" ht="12.8" hidden="false" customHeight="false" outlineLevel="0" collapsed="false">
      <c r="B33" s="46"/>
      <c r="C33" s="50" t="s">
        <v>28</v>
      </c>
      <c r="D33" s="64" t="n">
        <v>0</v>
      </c>
      <c r="E33" s="64" t="s">
        <v>108</v>
      </c>
      <c r="F33" s="64" t="n">
        <v>58</v>
      </c>
      <c r="G33" s="64" t="n">
        <v>50</v>
      </c>
      <c r="H33" s="122" t="n">
        <f aca="false">H13</f>
        <v>18.9927</v>
      </c>
      <c r="I33" s="241" t="n">
        <v>5.2665</v>
      </c>
      <c r="J33" s="241" t="n">
        <v>5.3868</v>
      </c>
      <c r="K33" s="242" t="n">
        <f aca="false">J33-I33</f>
        <v>0.1203</v>
      </c>
      <c r="L33" s="121" t="n">
        <v>42.09</v>
      </c>
      <c r="M33" s="121" t="n">
        <v>20.51</v>
      </c>
      <c r="N33" s="128"/>
      <c r="O33" s="128"/>
      <c r="P33" s="243" t="n">
        <f aca="false">K33*L33/100</f>
        <v>0.0506342700000001</v>
      </c>
      <c r="Q33" s="122" t="n">
        <f aca="false">1000*K33/H33</f>
        <v>6.33401254166076</v>
      </c>
      <c r="R33" s="122"/>
      <c r="S33" s="240"/>
      <c r="T33" s="122" t="n">
        <f aca="false">1000*P33/H33</f>
        <v>2.66598587878501</v>
      </c>
      <c r="U33" s="122"/>
      <c r="V33" s="194"/>
      <c r="W33" s="256" t="n">
        <f aca="false">100*T33/(T13+T33+T53)</f>
        <v>12.1900200057881</v>
      </c>
      <c r="X33" s="244" t="n">
        <f aca="false">QUARTILE(W31:W35,3)+(1.5*(QUARTILE(W31:W35,3)-QUARTILE(W31:W35,1)))</f>
        <v>10.7804899312808</v>
      </c>
      <c r="Y33" s="240"/>
      <c r="Z33" s="245"/>
      <c r="AA33" s="245"/>
      <c r="AB33" s="245"/>
      <c r="AC33" s="245"/>
      <c r="AD33" s="240"/>
    </row>
    <row r="34" customFormat="false" ht="12.8" hidden="false" customHeight="false" outlineLevel="0" collapsed="false">
      <c r="B34" s="46"/>
      <c r="C34" s="50" t="s">
        <v>28</v>
      </c>
      <c r="D34" s="64" t="n">
        <v>0</v>
      </c>
      <c r="E34" s="64" t="s">
        <v>111</v>
      </c>
      <c r="F34" s="64" t="n">
        <v>59</v>
      </c>
      <c r="G34" s="64" t="n">
        <v>50</v>
      </c>
      <c r="H34" s="122" t="n">
        <f aca="false">H14</f>
        <v>18.8073</v>
      </c>
      <c r="I34" s="241" t="n">
        <v>5.2756</v>
      </c>
      <c r="J34" s="241" t="n">
        <v>5.3646</v>
      </c>
      <c r="K34" s="242" t="n">
        <f aca="false">J34-I34</f>
        <v>0.0890000000000004</v>
      </c>
      <c r="L34" s="121" t="n">
        <v>41.69</v>
      </c>
      <c r="M34" s="121" t="n">
        <v>19.75</v>
      </c>
      <c r="N34" s="128"/>
      <c r="O34" s="128"/>
      <c r="P34" s="243" t="n">
        <f aca="false">K34*L34/100</f>
        <v>0.0371041000000002</v>
      </c>
      <c r="Q34" s="122" t="n">
        <f aca="false">1000*K34/H34</f>
        <v>4.73220504803988</v>
      </c>
      <c r="R34" s="122"/>
      <c r="S34" s="240"/>
      <c r="T34" s="122" t="n">
        <f aca="false">1000*P34/H34</f>
        <v>1.97285628452782</v>
      </c>
      <c r="U34" s="122"/>
      <c r="V34" s="194"/>
      <c r="W34" s="194" t="n">
        <f aca="false">100*T34/(T14+T34+T54)</f>
        <v>9.12089678743927</v>
      </c>
      <c r="X34" s="246"/>
      <c r="Y34" s="240"/>
      <c r="Z34" s="245"/>
      <c r="AA34" s="245"/>
      <c r="AB34" s="245"/>
      <c r="AC34" s="245"/>
      <c r="AD34" s="240"/>
    </row>
    <row r="35" customFormat="false" ht="12.8" hidden="false" customHeight="false" outlineLevel="0" collapsed="false">
      <c r="B35" s="46"/>
      <c r="C35" s="50" t="s">
        <v>28</v>
      </c>
      <c r="D35" s="64" t="n">
        <v>0</v>
      </c>
      <c r="E35" s="64" t="s">
        <v>114</v>
      </c>
      <c r="F35" s="64" t="n">
        <v>60</v>
      </c>
      <c r="G35" s="64" t="n">
        <v>50</v>
      </c>
      <c r="H35" s="122" t="n">
        <f aca="false">H15</f>
        <v>19.2355</v>
      </c>
      <c r="I35" s="241" t="n">
        <v>5.3282</v>
      </c>
      <c r="J35" s="241" t="n">
        <v>5.4268</v>
      </c>
      <c r="K35" s="242" t="n">
        <f aca="false">J35-I35</f>
        <v>0.0986000000000002</v>
      </c>
      <c r="L35" s="121" t="n">
        <v>41.88</v>
      </c>
      <c r="M35" s="121" t="n">
        <v>19.3</v>
      </c>
      <c r="N35" s="128"/>
      <c r="O35" s="128"/>
      <c r="P35" s="243" t="n">
        <f aca="false">K35*L35/100</f>
        <v>0.0412936800000001</v>
      </c>
      <c r="Q35" s="122" t="n">
        <f aca="false">1000*K35/H35</f>
        <v>5.12593901900134</v>
      </c>
      <c r="R35" s="122"/>
      <c r="S35" s="240"/>
      <c r="T35" s="122" t="n">
        <f aca="false">1000*P35/H35</f>
        <v>2.14674326115776</v>
      </c>
      <c r="U35" s="122"/>
      <c r="V35" s="194"/>
      <c r="W35" s="194" t="n">
        <f aca="false">100*T35/(T15+T35+T55)</f>
        <v>9.8169565834159</v>
      </c>
      <c r="X35" s="122"/>
      <c r="Y35" s="240"/>
      <c r="Z35" s="245"/>
      <c r="AA35" s="245"/>
      <c r="AB35" s="245"/>
      <c r="AC35" s="245"/>
      <c r="AD35" s="240"/>
    </row>
    <row r="36" customFormat="false" ht="12.8" hidden="false" customHeight="false" outlineLevel="0" collapsed="false">
      <c r="B36" s="46"/>
      <c r="C36" s="176" t="s">
        <v>28</v>
      </c>
      <c r="D36" s="247" t="n">
        <v>1</v>
      </c>
      <c r="E36" s="247" t="s">
        <v>103</v>
      </c>
      <c r="F36" s="247" t="n">
        <v>61</v>
      </c>
      <c r="G36" s="247" t="n">
        <v>50</v>
      </c>
      <c r="H36" s="181" t="n">
        <f aca="false">H16</f>
        <v>18.9819</v>
      </c>
      <c r="I36" s="248" t="n">
        <v>5.3092</v>
      </c>
      <c r="J36" s="248" t="n">
        <v>5.3708</v>
      </c>
      <c r="K36" s="249" t="n">
        <f aca="false">J36-I36</f>
        <v>0.0616000000000003</v>
      </c>
      <c r="L36" s="179" t="n">
        <v>41.14</v>
      </c>
      <c r="M36" s="179" t="n">
        <v>18.59</v>
      </c>
      <c r="N36" s="250" t="n">
        <f aca="false">AVERAGE(M36:M40)</f>
        <v>19.326</v>
      </c>
      <c r="O36" s="250" t="n">
        <f aca="false">STDEV(M36:M40)</f>
        <v>0.580844213193176</v>
      </c>
      <c r="P36" s="251" t="n">
        <f aca="false">K36*L36/100</f>
        <v>0.0253422400000001</v>
      </c>
      <c r="Q36" s="181" t="n">
        <f aca="false">1000*K36/H36</f>
        <v>3.24519674005238</v>
      </c>
      <c r="R36" s="181" t="n">
        <f aca="false">AVERAGE(Q36:Q40)</f>
        <v>4.46557150383396</v>
      </c>
      <c r="S36" s="252" t="n">
        <f aca="false">STDEV(Q36:Q40)</f>
        <v>0.837568911368069</v>
      </c>
      <c r="T36" s="181" t="n">
        <f aca="false">1000*P36/H36</f>
        <v>1.33507393885755</v>
      </c>
      <c r="U36" s="181" t="n">
        <f aca="false">AVERAGE(T36:T40)</f>
        <v>1.86431083696047</v>
      </c>
      <c r="V36" s="181" t="n">
        <f aca="false">STDEV(T36:T40)</f>
        <v>0.353426448497614</v>
      </c>
      <c r="W36" s="181" t="n">
        <f aca="false">100*T36/(T16+T36+T56)</f>
        <v>6.30194322913569</v>
      </c>
      <c r="X36" s="181" t="n">
        <f aca="false">AVERAGE(W36:W40)</f>
        <v>8.86829407127652</v>
      </c>
      <c r="Y36" s="252" t="n">
        <f aca="false">STDEV(W36:W40)</f>
        <v>1.67180793813437</v>
      </c>
      <c r="Z36" s="253"/>
      <c r="AA36" s="253"/>
      <c r="AB36" s="253"/>
      <c r="AC36" s="253"/>
      <c r="AD36" s="240"/>
    </row>
    <row r="37" customFormat="false" ht="12.8" hidden="false" customHeight="false" outlineLevel="0" collapsed="false">
      <c r="B37" s="46"/>
      <c r="C37" s="50" t="s">
        <v>28</v>
      </c>
      <c r="D37" s="64" t="n">
        <v>1</v>
      </c>
      <c r="E37" s="64" t="s">
        <v>105</v>
      </c>
      <c r="F37" s="64" t="n">
        <v>62</v>
      </c>
      <c r="G37" s="64" t="n">
        <v>50</v>
      </c>
      <c r="H37" s="122" t="n">
        <f aca="false">H17</f>
        <v>19.0768</v>
      </c>
      <c r="I37" s="241" t="n">
        <v>5.26</v>
      </c>
      <c r="J37" s="241" t="n">
        <v>5.3489</v>
      </c>
      <c r="K37" s="242" t="n">
        <f aca="false">J37-I37</f>
        <v>0.0889000000000006</v>
      </c>
      <c r="L37" s="121" t="n">
        <v>41.9</v>
      </c>
      <c r="M37" s="121" t="n">
        <v>19.2</v>
      </c>
      <c r="N37" s="128"/>
      <c r="O37" s="128"/>
      <c r="P37" s="243" t="n">
        <f aca="false">K37*L37/100</f>
        <v>0.0372491000000003</v>
      </c>
      <c r="Q37" s="122" t="n">
        <f aca="false">1000*K37/H37</f>
        <v>4.66011071039171</v>
      </c>
      <c r="R37" s="122"/>
      <c r="S37" s="240"/>
      <c r="T37" s="122" t="n">
        <f aca="false">1000*P37/H37</f>
        <v>1.95258638765413</v>
      </c>
      <c r="U37" s="122"/>
      <c r="V37" s="194"/>
      <c r="W37" s="194" t="n">
        <f aca="false">100*T37/(T17+T37+T57)</f>
        <v>9.1334719872834</v>
      </c>
      <c r="X37" s="244" t="n">
        <f aca="false">QUARTILE(W36:W40,1)-(1.5*(QUARTILE(W36:W40,3)-QUARTILE(W36:W40,1)))</f>
        <v>6.07117139922061</v>
      </c>
      <c r="Y37" s="240"/>
      <c r="Z37" s="245"/>
      <c r="AA37" s="245"/>
      <c r="AB37" s="245"/>
      <c r="AC37" s="245"/>
      <c r="AD37" s="240"/>
    </row>
    <row r="38" customFormat="false" ht="12.8" hidden="false" customHeight="false" outlineLevel="0" collapsed="false">
      <c r="B38" s="46"/>
      <c r="C38" s="50" t="s">
        <v>28</v>
      </c>
      <c r="D38" s="64" t="n">
        <v>1</v>
      </c>
      <c r="E38" s="64" t="s">
        <v>108</v>
      </c>
      <c r="F38" s="64" t="n">
        <v>63</v>
      </c>
      <c r="G38" s="64" t="n">
        <v>50</v>
      </c>
      <c r="H38" s="122" t="n">
        <f aca="false">H18</f>
        <v>18.9259</v>
      </c>
      <c r="I38" s="241" t="n">
        <v>5.2544</v>
      </c>
      <c r="J38" s="241" t="n">
        <v>5.3517</v>
      </c>
      <c r="K38" s="242" t="n">
        <f aca="false">J38-I38</f>
        <v>0.0972999999999997</v>
      </c>
      <c r="L38" s="121" t="n">
        <v>41.75</v>
      </c>
      <c r="M38" s="121" t="n">
        <v>19.02</v>
      </c>
      <c r="N38" s="128"/>
      <c r="O38" s="128"/>
      <c r="P38" s="243" t="n">
        <f aca="false">K38*L38/100</f>
        <v>0.0406227499999999</v>
      </c>
      <c r="Q38" s="122" t="n">
        <f aca="false">1000*K38/H38</f>
        <v>5.1411029330177</v>
      </c>
      <c r="R38" s="122"/>
      <c r="S38" s="240"/>
      <c r="T38" s="122" t="n">
        <f aca="false">1000*P38/H38</f>
        <v>2.14641047453489</v>
      </c>
      <c r="U38" s="122"/>
      <c r="V38" s="194"/>
      <c r="W38" s="194" t="n">
        <f aca="false">100*T38/(T18+T38+T58)</f>
        <v>9.88158156777291</v>
      </c>
      <c r="X38" s="244" t="n">
        <f aca="false">QUARTILE(W36:W40,3)+(1.5*(QUARTILE(W36:W40,3)-QUARTILE(W36:W40,1)))</f>
        <v>12.1678276689043</v>
      </c>
      <c r="Y38" s="240"/>
      <c r="Z38" s="245"/>
      <c r="AA38" s="245"/>
      <c r="AB38" s="245"/>
      <c r="AC38" s="245"/>
      <c r="AD38" s="240"/>
    </row>
    <row r="39" customFormat="false" ht="12.8" hidden="false" customHeight="false" outlineLevel="0" collapsed="false">
      <c r="B39" s="46"/>
      <c r="C39" s="50" t="s">
        <v>28</v>
      </c>
      <c r="D39" s="64" t="n">
        <v>1</v>
      </c>
      <c r="E39" s="64" t="s">
        <v>111</v>
      </c>
      <c r="F39" s="64" t="n">
        <v>64</v>
      </c>
      <c r="G39" s="64" t="n">
        <v>50</v>
      </c>
      <c r="H39" s="122" t="n">
        <f aca="false">H19</f>
        <v>18.8677</v>
      </c>
      <c r="I39" s="241" t="n">
        <v>5.3453</v>
      </c>
      <c r="J39" s="241" t="n">
        <v>5.4445</v>
      </c>
      <c r="K39" s="242" t="n">
        <f aca="false">J39-I39</f>
        <v>0.0991999999999997</v>
      </c>
      <c r="L39" s="121" t="n">
        <v>41.62</v>
      </c>
      <c r="M39" s="121" t="n">
        <v>19.82</v>
      </c>
      <c r="N39" s="128"/>
      <c r="O39" s="128"/>
      <c r="P39" s="243" t="n">
        <f aca="false">K39*L39/100</f>
        <v>0.0412870399999999</v>
      </c>
      <c r="Q39" s="122" t="n">
        <f aca="false">1000*K39/H39</f>
        <v>5.25766256618452</v>
      </c>
      <c r="R39" s="122"/>
      <c r="S39" s="240"/>
      <c r="T39" s="122" t="n">
        <f aca="false">1000*P39/H39</f>
        <v>2.188239160046</v>
      </c>
      <c r="U39" s="122"/>
      <c r="V39" s="194"/>
      <c r="W39" s="194" t="n">
        <f aca="false">100*T39/(T19+T39+T59)</f>
        <v>10.6670560718386</v>
      </c>
      <c r="X39" s="246"/>
      <c r="Y39" s="240"/>
      <c r="Z39" s="245"/>
      <c r="AA39" s="245"/>
      <c r="AB39" s="245"/>
      <c r="AC39" s="245"/>
      <c r="AD39" s="240"/>
    </row>
    <row r="40" customFormat="false" ht="12.8" hidden="false" customHeight="false" outlineLevel="0" collapsed="false">
      <c r="B40" s="46"/>
      <c r="C40" s="50" t="s">
        <v>28</v>
      </c>
      <c r="D40" s="64" t="n">
        <v>1</v>
      </c>
      <c r="E40" s="64" t="s">
        <v>114</v>
      </c>
      <c r="F40" s="64" t="n">
        <v>65</v>
      </c>
      <c r="G40" s="255" t="n">
        <v>50</v>
      </c>
      <c r="H40" s="194" t="n">
        <f aca="false">H20</f>
        <v>18.9871</v>
      </c>
      <c r="I40" s="241" t="n">
        <v>5.2751</v>
      </c>
      <c r="J40" s="241" t="n">
        <v>5.3515</v>
      </c>
      <c r="K40" s="242" t="n">
        <f aca="false">J40-I40</f>
        <v>0.0763999999999996</v>
      </c>
      <c r="L40" s="121" t="n">
        <v>42.23</v>
      </c>
      <c r="M40" s="121" t="n">
        <v>20</v>
      </c>
      <c r="N40" s="128"/>
      <c r="O40" s="128"/>
      <c r="P40" s="243" t="n">
        <f aca="false">K40*L40/100</f>
        <v>0.0322637199999998</v>
      </c>
      <c r="Q40" s="194" t="n">
        <f aca="false">1000*K40/H40</f>
        <v>4.0237845695235</v>
      </c>
      <c r="R40" s="194"/>
      <c r="S40" s="240"/>
      <c r="T40" s="194" t="n">
        <f aca="false">1000*P40/H40</f>
        <v>1.69924422370977</v>
      </c>
      <c r="U40" s="194"/>
      <c r="V40" s="194"/>
      <c r="W40" s="194" t="n">
        <f aca="false">100*T40/(T20+T40+T60)</f>
        <v>8.35741750035199</v>
      </c>
      <c r="X40" s="194"/>
      <c r="Y40" s="240"/>
      <c r="Z40" s="245"/>
      <c r="AA40" s="245"/>
      <c r="AB40" s="245"/>
      <c r="AC40" s="245"/>
      <c r="AD40" s="240"/>
    </row>
    <row r="41" customFormat="false" ht="12.8" hidden="false" customHeight="false" outlineLevel="0" collapsed="false">
      <c r="B41" s="46"/>
      <c r="C41" s="176" t="s">
        <v>28</v>
      </c>
      <c r="D41" s="247" t="n">
        <v>4</v>
      </c>
      <c r="E41" s="247" t="s">
        <v>103</v>
      </c>
      <c r="F41" s="247" t="n">
        <v>66</v>
      </c>
      <c r="G41" s="247" t="n">
        <v>50</v>
      </c>
      <c r="H41" s="181" t="n">
        <f aca="false">H21</f>
        <v>19.0326</v>
      </c>
      <c r="I41" s="248" t="n">
        <v>5.3265</v>
      </c>
      <c r="J41" s="248" t="n">
        <v>5.3783</v>
      </c>
      <c r="K41" s="249" t="n">
        <f aca="false">J41-I41</f>
        <v>0.0518000000000001</v>
      </c>
      <c r="L41" s="179" t="n">
        <v>43.17</v>
      </c>
      <c r="M41" s="179" t="n">
        <v>20.52</v>
      </c>
      <c r="N41" s="250" t="n">
        <f aca="false">AVERAGE(M41:M45)</f>
        <v>20.79</v>
      </c>
      <c r="O41" s="250" t="n">
        <f aca="false">STDEV(M41:M45)</f>
        <v>0.586088730483704</v>
      </c>
      <c r="P41" s="251" t="n">
        <f aca="false">K41*L41/100</f>
        <v>0.02236206</v>
      </c>
      <c r="Q41" s="181" t="n">
        <f aca="false">1000*K41/H41</f>
        <v>2.72164601788511</v>
      </c>
      <c r="R41" s="181" t="n">
        <f aca="false">AVERAGE(Q41:Q45)</f>
        <v>3.59276737719543</v>
      </c>
      <c r="S41" s="252" t="n">
        <f aca="false">STDEV(Q41:Q45)</f>
        <v>1.39225178870437</v>
      </c>
      <c r="T41" s="181" t="n">
        <f aca="false">1000*P41/H41</f>
        <v>1.174934585921</v>
      </c>
      <c r="U41" s="181" t="n">
        <f aca="false">AVERAGE(T41:T45)</f>
        <v>1.53803058862365</v>
      </c>
      <c r="V41" s="181" t="n">
        <f aca="false">STDEV(T41:T45)</f>
        <v>0.598730477192039</v>
      </c>
      <c r="W41" s="181" t="n">
        <f aca="false">100*T41/(T21+T41+T61)</f>
        <v>5.84121467683662</v>
      </c>
      <c r="X41" s="181" t="n">
        <f aca="false">AVERAGE(W41:W45)</f>
        <v>7.50723284587465</v>
      </c>
      <c r="Y41" s="252" t="n">
        <f aca="false">STDEV(W41:W45)</f>
        <v>2.84849243825264</v>
      </c>
      <c r="Z41" s="253"/>
      <c r="AA41" s="253"/>
      <c r="AB41" s="253"/>
      <c r="AC41" s="253"/>
      <c r="AD41" s="240"/>
    </row>
    <row r="42" customFormat="false" ht="12.8" hidden="false" customHeight="false" outlineLevel="0" collapsed="false">
      <c r="B42" s="46"/>
      <c r="C42" s="50" t="s">
        <v>28</v>
      </c>
      <c r="D42" s="64" t="n">
        <v>4</v>
      </c>
      <c r="E42" s="64" t="s">
        <v>105</v>
      </c>
      <c r="F42" s="64" t="n">
        <v>67</v>
      </c>
      <c r="G42" s="64" t="n">
        <v>50</v>
      </c>
      <c r="H42" s="122" t="n">
        <f aca="false">H22</f>
        <v>19.1585</v>
      </c>
      <c r="I42" s="241" t="n">
        <v>5.2777</v>
      </c>
      <c r="J42" s="241" t="n">
        <v>5.3544</v>
      </c>
      <c r="K42" s="242" t="n">
        <f aca="false">J42-I42</f>
        <v>0.0766999999999998</v>
      </c>
      <c r="L42" s="121" t="n">
        <v>41.72</v>
      </c>
      <c r="M42" s="121" t="n">
        <v>20.26</v>
      </c>
      <c r="N42" s="128"/>
      <c r="O42" s="128"/>
      <c r="P42" s="243" t="n">
        <f aca="false">K42*L42/100</f>
        <v>0.0319992399999999</v>
      </c>
      <c r="Q42" s="122" t="n">
        <f aca="false">1000*K42/H42</f>
        <v>4.00344494610746</v>
      </c>
      <c r="R42" s="122"/>
      <c r="S42" s="240"/>
      <c r="T42" s="122" t="n">
        <f aca="false">1000*P42/H42</f>
        <v>1.67023723151603</v>
      </c>
      <c r="U42" s="122"/>
      <c r="V42" s="194"/>
      <c r="W42" s="194" t="n">
        <f aca="false">100*T42/(T22+T42+T62)</f>
        <v>8.18005715030407</v>
      </c>
      <c r="X42" s="244" t="n">
        <f aca="false">QUARTILE(W41:W45,1)-(1.5*(QUARTILE(W41:W45,3)-QUARTILE(W41:W45,1)))</f>
        <v>2.33295096663545</v>
      </c>
      <c r="Y42" s="240"/>
      <c r="Z42" s="245"/>
      <c r="AA42" s="245"/>
      <c r="AB42" s="245"/>
      <c r="AC42" s="245"/>
      <c r="AD42" s="240"/>
    </row>
    <row r="43" customFormat="false" ht="12.8" hidden="false" customHeight="false" outlineLevel="0" collapsed="false">
      <c r="B43" s="46"/>
      <c r="C43" s="50" t="s">
        <v>28</v>
      </c>
      <c r="D43" s="64" t="n">
        <v>4</v>
      </c>
      <c r="E43" s="64" t="s">
        <v>108</v>
      </c>
      <c r="F43" s="64" t="n">
        <v>68</v>
      </c>
      <c r="G43" s="64" t="n">
        <v>50</v>
      </c>
      <c r="H43" s="122" t="n">
        <f aca="false">H23</f>
        <v>19.1694</v>
      </c>
      <c r="I43" s="241" t="n">
        <v>5.2772</v>
      </c>
      <c r="J43" s="241" t="n">
        <v>5.3161</v>
      </c>
      <c r="K43" s="242" t="n">
        <f aca="false">J43-I43</f>
        <v>0.0388999999999999</v>
      </c>
      <c r="L43" s="121" t="n">
        <v>43.42</v>
      </c>
      <c r="M43" s="121" t="n">
        <v>21.78</v>
      </c>
      <c r="N43" s="128"/>
      <c r="O43" s="128"/>
      <c r="P43" s="243" t="n">
        <f aca="false">K43*L43/100</f>
        <v>0.01689038</v>
      </c>
      <c r="Q43" s="122" t="n">
        <f aca="false">1000*K43/H43</f>
        <v>2.02927582501278</v>
      </c>
      <c r="R43" s="122"/>
      <c r="S43" s="240"/>
      <c r="T43" s="122" t="n">
        <f aca="false">1000*P43/H43</f>
        <v>0.881111563220548</v>
      </c>
      <c r="U43" s="122"/>
      <c r="V43" s="194"/>
      <c r="W43" s="194" t="n">
        <f aca="false">100*T43/(T23+T43+T63)</f>
        <v>4.30827111031494</v>
      </c>
      <c r="X43" s="244" t="n">
        <f aca="false">QUARTILE(W41:W45,3)+(1.5*(QUARTILE(W41:W45,3)-QUARTILE(W41:W45,1)))</f>
        <v>11.6883208605052</v>
      </c>
      <c r="Y43" s="240"/>
      <c r="Z43" s="245"/>
      <c r="AA43" s="245"/>
      <c r="AB43" s="245"/>
      <c r="AC43" s="245"/>
      <c r="AD43" s="240"/>
    </row>
    <row r="44" customFormat="false" ht="12.8" hidden="false" customHeight="false" outlineLevel="0" collapsed="false">
      <c r="B44" s="46"/>
      <c r="C44" s="50" t="s">
        <v>28</v>
      </c>
      <c r="D44" s="64" t="n">
        <v>4</v>
      </c>
      <c r="E44" s="64" t="s">
        <v>111</v>
      </c>
      <c r="F44" s="64" t="n">
        <v>69</v>
      </c>
      <c r="G44" s="64" t="n">
        <v>50</v>
      </c>
      <c r="H44" s="122" t="n">
        <f aca="false">H24</f>
        <v>18.8389</v>
      </c>
      <c r="I44" s="241" t="n">
        <v>5.3099</v>
      </c>
      <c r="J44" s="241" t="n">
        <v>5.3763</v>
      </c>
      <c r="K44" s="242" t="n">
        <f aca="false">J44-I44</f>
        <v>0.0663999999999998</v>
      </c>
      <c r="L44" s="121" t="n">
        <v>42.64</v>
      </c>
      <c r="M44" s="121" t="n">
        <v>20.8</v>
      </c>
      <c r="N44" s="128"/>
      <c r="O44" s="128"/>
      <c r="P44" s="243" t="n">
        <f aca="false">K44*L44/100</f>
        <v>0.0283129599999999</v>
      </c>
      <c r="Q44" s="122" t="n">
        <f aca="false">1000*K44/H44</f>
        <v>3.52462192590861</v>
      </c>
      <c r="R44" s="122"/>
      <c r="S44" s="240"/>
      <c r="T44" s="122" t="n">
        <f aca="false">1000*P44/H44</f>
        <v>1.50289878920743</v>
      </c>
      <c r="U44" s="122"/>
      <c r="V44" s="194"/>
      <c r="W44" s="194" t="n">
        <f aca="false">100*T44/(T24+T44+T64)</f>
        <v>7.344230398895</v>
      </c>
      <c r="X44" s="246"/>
      <c r="Y44" s="240"/>
      <c r="Z44" s="245"/>
      <c r="AA44" s="245"/>
      <c r="AB44" s="245"/>
      <c r="AC44" s="245"/>
      <c r="AD44" s="240"/>
    </row>
    <row r="45" customFormat="false" ht="12.8" hidden="false" customHeight="false" outlineLevel="0" collapsed="false">
      <c r="B45" s="46"/>
      <c r="C45" s="50" t="s">
        <v>28</v>
      </c>
      <c r="D45" s="64" t="n">
        <v>4</v>
      </c>
      <c r="E45" s="64" t="s">
        <v>114</v>
      </c>
      <c r="F45" s="64" t="n">
        <v>70</v>
      </c>
      <c r="G45" s="255" t="n">
        <v>50</v>
      </c>
      <c r="H45" s="194" t="n">
        <f aca="false">H25</f>
        <v>19.3145</v>
      </c>
      <c r="I45" s="241" t="n">
        <v>5.2833</v>
      </c>
      <c r="J45" s="241" t="n">
        <v>5.3931</v>
      </c>
      <c r="K45" s="242" t="n">
        <f aca="false">J45-I45</f>
        <v>0.1098</v>
      </c>
      <c r="L45" s="121" t="n">
        <v>43.29</v>
      </c>
      <c r="M45" s="121" t="n">
        <v>20.59</v>
      </c>
      <c r="N45" s="128"/>
      <c r="O45" s="128"/>
      <c r="P45" s="243" t="n">
        <f aca="false">K45*L45/100</f>
        <v>0.04753242</v>
      </c>
      <c r="Q45" s="194" t="n">
        <f aca="false">1000*K45/H45</f>
        <v>5.68484817106318</v>
      </c>
      <c r="R45" s="194"/>
      <c r="S45" s="240"/>
      <c r="T45" s="194" t="n">
        <f aca="false">1000*P45/H45</f>
        <v>2.46097077325325</v>
      </c>
      <c r="U45" s="194"/>
      <c r="V45" s="194"/>
      <c r="W45" s="258" t="n">
        <f aca="false">100*T45/(T25+T45+T65)</f>
        <v>11.8623908930226</v>
      </c>
      <c r="X45" s="194"/>
      <c r="Y45" s="240"/>
      <c r="Z45" s="245"/>
      <c r="AA45" s="245"/>
      <c r="AB45" s="245"/>
      <c r="AC45" s="245"/>
      <c r="AD45" s="240"/>
    </row>
    <row r="46" customFormat="false" ht="12.8" hidden="false" customHeight="false" outlineLevel="0" collapsed="false">
      <c r="B46" s="46"/>
      <c r="C46" s="96" t="s">
        <v>28</v>
      </c>
      <c r="D46" s="234" t="s">
        <v>158</v>
      </c>
      <c r="E46" s="59" t="s">
        <v>103</v>
      </c>
      <c r="F46" s="59" t="n">
        <v>51</v>
      </c>
      <c r="G46" s="59" t="s">
        <v>184</v>
      </c>
      <c r="H46" s="212" t="n">
        <f aca="false">H6</f>
        <v>18.7202</v>
      </c>
      <c r="I46" s="235" t="n">
        <v>25.4127</v>
      </c>
      <c r="J46" s="235" t="n">
        <v>44.0894</v>
      </c>
      <c r="K46" s="236" t="n">
        <f aca="false">J46-I46</f>
        <v>18.6767</v>
      </c>
      <c r="L46" s="237" t="n">
        <v>1.97</v>
      </c>
      <c r="M46" s="237" t="n">
        <v>9.79</v>
      </c>
      <c r="N46" s="238" t="n">
        <f aca="false">AVERAGE(M46:M50)</f>
        <v>10.24</v>
      </c>
      <c r="O46" s="238" t="n">
        <f aca="false">STDEV(M46:M50)</f>
        <v>1.164366780701</v>
      </c>
      <c r="P46" s="239" t="n">
        <f aca="false">K46*L46/100</f>
        <v>0.36793099</v>
      </c>
      <c r="Q46" s="212"/>
      <c r="R46" s="212"/>
      <c r="S46" s="215"/>
      <c r="T46" s="212" t="n">
        <f aca="false">1000*P46/H46</f>
        <v>19.6542232454781</v>
      </c>
      <c r="U46" s="212" t="n">
        <f aca="false">AVERAGE(T46:T50)</f>
        <v>18.9021937542521</v>
      </c>
      <c r="V46" s="212" t="n">
        <f aca="false">STDEV(T46:T50)</f>
        <v>0.953758647755633</v>
      </c>
      <c r="W46" s="212" t="n">
        <f aca="false">100*T46/(T6+T26+T46)</f>
        <v>95.5170462743955</v>
      </c>
      <c r="X46" s="212" t="n">
        <f aca="false">AVERAGE(W46:W50)</f>
        <v>93.9710747726008</v>
      </c>
      <c r="Y46" s="215" t="n">
        <f aca="false">STDEV(W46:W50)</f>
        <v>2.87924287035066</v>
      </c>
      <c r="Z46" s="213"/>
      <c r="AA46" s="257" t="n">
        <f aca="false">TTEST(W46:W50,W51:W55,2,2)</f>
        <v>0.00256363845732</v>
      </c>
      <c r="AB46" s="257" t="n">
        <f aca="false">TTEST(W46:W50,W56:W60,2,2)</f>
        <v>0.00959138442679876</v>
      </c>
      <c r="AC46" s="213" t="n">
        <f aca="false">TTEST(W46:W50,W61:W65,2,2)</f>
        <v>0.0799099871490663</v>
      </c>
      <c r="AD46" s="240"/>
    </row>
    <row r="47" customFormat="false" ht="12.8" hidden="false" customHeight="false" outlineLevel="0" collapsed="false">
      <c r="B47" s="46"/>
      <c r="C47" s="50" t="s">
        <v>28</v>
      </c>
      <c r="D47" s="64" t="s">
        <v>158</v>
      </c>
      <c r="E47" s="64" t="s">
        <v>105</v>
      </c>
      <c r="F47" s="64" t="n">
        <v>52</v>
      </c>
      <c r="G47" s="64" t="s">
        <v>184</v>
      </c>
      <c r="H47" s="122" t="n">
        <f aca="false">H7</f>
        <v>19.1794</v>
      </c>
      <c r="I47" s="241" t="n">
        <v>25.3757</v>
      </c>
      <c r="J47" s="241" t="n">
        <v>44.5044</v>
      </c>
      <c r="K47" s="242" t="n">
        <f aca="false">J47-I47</f>
        <v>19.1287</v>
      </c>
      <c r="L47" s="121" t="n">
        <v>1.93</v>
      </c>
      <c r="M47" s="121" t="n">
        <v>9.76</v>
      </c>
      <c r="N47" s="128"/>
      <c r="O47" s="128"/>
      <c r="P47" s="243" t="n">
        <f aca="false">K47*L47/100</f>
        <v>0.36918391</v>
      </c>
      <c r="Q47" s="122"/>
      <c r="R47" s="122"/>
      <c r="S47" s="240"/>
      <c r="T47" s="122" t="n">
        <f aca="false">1000*P47/H47</f>
        <v>19.2489811985776</v>
      </c>
      <c r="U47" s="122"/>
      <c r="V47" s="194"/>
      <c r="W47" s="194" t="n">
        <f aca="false">100*T47/(T7+T27+T47)</f>
        <v>95.0476754250231</v>
      </c>
      <c r="X47" s="244" t="n">
        <f aca="false">QUARTILE(W46:W50,1)-(1.5*(QUARTILE(W46:W50,3)-QUARTILE(W46:W50,1)))</f>
        <v>87.4474491182735</v>
      </c>
      <c r="Y47" s="240"/>
      <c r="Z47" s="245"/>
      <c r="AA47" s="245"/>
      <c r="AB47" s="245"/>
      <c r="AC47" s="245"/>
      <c r="AD47" s="240"/>
    </row>
    <row r="48" customFormat="false" ht="12.8" hidden="false" customHeight="false" outlineLevel="0" collapsed="false">
      <c r="B48" s="46"/>
      <c r="C48" s="50" t="s">
        <v>28</v>
      </c>
      <c r="D48" s="64" t="s">
        <v>158</v>
      </c>
      <c r="E48" s="64" t="s">
        <v>108</v>
      </c>
      <c r="F48" s="64" t="n">
        <v>53</v>
      </c>
      <c r="G48" s="64" t="s">
        <v>184</v>
      </c>
      <c r="H48" s="122" t="n">
        <f aca="false">H8</f>
        <v>19.2459</v>
      </c>
      <c r="I48" s="241" t="n">
        <v>25.4704</v>
      </c>
      <c r="J48" s="241" t="n">
        <v>44.6868</v>
      </c>
      <c r="K48" s="242" t="n">
        <f aca="false">J48-I48</f>
        <v>19.2164</v>
      </c>
      <c r="L48" s="121" t="n">
        <v>1.93</v>
      </c>
      <c r="M48" s="121" t="n">
        <v>9.7</v>
      </c>
      <c r="N48" s="128"/>
      <c r="O48" s="128"/>
      <c r="P48" s="243" t="n">
        <f aca="false">K48*L48/100</f>
        <v>0.37087652</v>
      </c>
      <c r="Q48" s="122"/>
      <c r="R48" s="122"/>
      <c r="S48" s="240"/>
      <c r="T48" s="122" t="n">
        <f aca="false">1000*P48/H48</f>
        <v>19.2704170758447</v>
      </c>
      <c r="U48" s="122"/>
      <c r="V48" s="194"/>
      <c r="W48" s="194" t="n">
        <f aca="false">100*T48/(T8+T28+T48)</f>
        <v>97.129766368633</v>
      </c>
      <c r="X48" s="244" t="n">
        <f aca="false">QUARTILE(W46:W50,3)+(1.5*(QUARTILE(W46:W50,3)-QUARTILE(W46:W50,1)))</f>
        <v>100.358804568069</v>
      </c>
      <c r="Y48" s="240"/>
      <c r="Z48" s="245"/>
      <c r="AA48" s="245"/>
      <c r="AB48" s="245"/>
      <c r="AC48" s="245"/>
      <c r="AD48" s="240"/>
    </row>
    <row r="49" customFormat="false" ht="12.8" hidden="false" customHeight="false" outlineLevel="0" collapsed="false">
      <c r="B49" s="46"/>
      <c r="C49" s="50" t="s">
        <v>28</v>
      </c>
      <c r="D49" s="64" t="s">
        <v>158</v>
      </c>
      <c r="E49" s="64" t="s">
        <v>111</v>
      </c>
      <c r="F49" s="64" t="n">
        <v>54</v>
      </c>
      <c r="G49" s="64" t="s">
        <v>184</v>
      </c>
      <c r="H49" s="122" t="n">
        <f aca="false">H9</f>
        <v>19.2023</v>
      </c>
      <c r="I49" s="241" t="n">
        <v>25.6205</v>
      </c>
      <c r="J49" s="241" t="n">
        <v>44.7245</v>
      </c>
      <c r="K49" s="242" t="n">
        <f aca="false">J49-I49</f>
        <v>19.104</v>
      </c>
      <c r="L49" s="121" t="n">
        <v>1.92</v>
      </c>
      <c r="M49" s="121" t="n">
        <v>9.63</v>
      </c>
      <c r="N49" s="128"/>
      <c r="O49" s="128"/>
      <c r="P49" s="243" t="n">
        <f aca="false">K49*L49/100</f>
        <v>0.3667968</v>
      </c>
      <c r="Q49" s="122"/>
      <c r="R49" s="122"/>
      <c r="S49" s="240"/>
      <c r="T49" s="122" t="n">
        <f aca="false">1000*P49/H49</f>
        <v>19.1017117741104</v>
      </c>
      <c r="U49" s="122"/>
      <c r="V49" s="194"/>
      <c r="W49" s="194" t="n">
        <f aca="false">100*T49/(T9+T29+T49)</f>
        <v>89.8716783830057</v>
      </c>
      <c r="X49" s="246"/>
      <c r="Y49" s="240"/>
      <c r="Z49" s="245"/>
      <c r="AA49" s="245"/>
      <c r="AB49" s="245"/>
      <c r="AC49" s="245"/>
      <c r="AD49" s="240"/>
    </row>
    <row r="50" customFormat="false" ht="12.8" hidden="false" customHeight="false" outlineLevel="0" collapsed="false">
      <c r="B50" s="46"/>
      <c r="C50" s="50" t="s">
        <v>28</v>
      </c>
      <c r="D50" s="64" t="s">
        <v>158</v>
      </c>
      <c r="E50" s="64" t="s">
        <v>114</v>
      </c>
      <c r="F50" s="64" t="n">
        <v>55</v>
      </c>
      <c r="G50" s="64" t="s">
        <v>184</v>
      </c>
      <c r="H50" s="122" t="n">
        <f aca="false">H10</f>
        <v>18.7072</v>
      </c>
      <c r="I50" s="241" t="n">
        <v>26.3635</v>
      </c>
      <c r="J50" s="241" t="n">
        <f aca="false">45.0011</f>
        <v>45.0011</v>
      </c>
      <c r="K50" s="242" t="n">
        <f aca="false">J50-I50</f>
        <v>18.6376</v>
      </c>
      <c r="L50" s="121" t="n">
        <v>1.73</v>
      </c>
      <c r="M50" s="121" t="n">
        <v>12.32</v>
      </c>
      <c r="N50" s="128"/>
      <c r="O50" s="128"/>
      <c r="P50" s="243" t="n">
        <f aca="false">K50*L50/100</f>
        <v>0.32243048</v>
      </c>
      <c r="Q50" s="122"/>
      <c r="R50" s="122"/>
      <c r="S50" s="240"/>
      <c r="T50" s="122" t="n">
        <f aca="false">1000*P50/H50</f>
        <v>17.2356354772494</v>
      </c>
      <c r="U50" s="122"/>
      <c r="V50" s="194"/>
      <c r="W50" s="194" t="n">
        <f aca="false">100*T50/(T10+T30+T50)</f>
        <v>92.2892074119467</v>
      </c>
      <c r="X50" s="122"/>
      <c r="Y50" s="240"/>
      <c r="Z50" s="245"/>
      <c r="AA50" s="245"/>
      <c r="AB50" s="245"/>
      <c r="AC50" s="245"/>
      <c r="AD50" s="240"/>
    </row>
    <row r="51" customFormat="false" ht="12.8" hidden="false" customHeight="false" outlineLevel="0" collapsed="false">
      <c r="B51" s="46"/>
      <c r="C51" s="176" t="s">
        <v>28</v>
      </c>
      <c r="D51" s="247" t="n">
        <v>0</v>
      </c>
      <c r="E51" s="247" t="s">
        <v>103</v>
      </c>
      <c r="F51" s="247" t="n">
        <v>56</v>
      </c>
      <c r="G51" s="247" t="s">
        <v>184</v>
      </c>
      <c r="H51" s="181" t="n">
        <f aca="false">H11</f>
        <v>18.8584</v>
      </c>
      <c r="I51" s="248" t="n">
        <v>24.561</v>
      </c>
      <c r="J51" s="248" t="n">
        <v>43.315</v>
      </c>
      <c r="K51" s="249" t="n">
        <f aca="false">J51-I51</f>
        <v>18.754</v>
      </c>
      <c r="L51" s="179" t="n">
        <v>1.78</v>
      </c>
      <c r="M51" s="179" t="n">
        <v>9.29</v>
      </c>
      <c r="N51" s="250" t="n">
        <f aca="false">AVERAGE(M51:M55)</f>
        <v>9.418</v>
      </c>
      <c r="O51" s="250" t="n">
        <f aca="false">STDEV(M51:M55)</f>
        <v>0.314356485538314</v>
      </c>
      <c r="P51" s="251" t="n">
        <f aca="false">K51*L51/100</f>
        <v>0.3338212</v>
      </c>
      <c r="Q51" s="181"/>
      <c r="R51" s="181"/>
      <c r="S51" s="252"/>
      <c r="T51" s="181" t="n">
        <f aca="false">1000*P51/H51</f>
        <v>17.7014592966529</v>
      </c>
      <c r="U51" s="181" t="n">
        <f aca="false">AVERAGE(T51:T55)</f>
        <v>18.5765414744892</v>
      </c>
      <c r="V51" s="181" t="n">
        <f aca="false">STDEV(T51:T55)</f>
        <v>0.692215408429595</v>
      </c>
      <c r="W51" s="181" t="n">
        <f aca="false">100*T51/(T11+T31+T51)</f>
        <v>88.1399935406835</v>
      </c>
      <c r="X51" s="181" t="n">
        <f aca="false">AVERAGE(W51:W55)</f>
        <v>87.1841873337228</v>
      </c>
      <c r="Y51" s="252" t="n">
        <f aca="false">STDEV(W51:W55)</f>
        <v>2.01988873077951</v>
      </c>
      <c r="Z51" s="253"/>
      <c r="AA51" s="253"/>
      <c r="AB51" s="253"/>
      <c r="AC51" s="253"/>
      <c r="AD51" s="240"/>
    </row>
    <row r="52" customFormat="false" ht="12.8" hidden="false" customHeight="false" outlineLevel="0" collapsed="false">
      <c r="B52" s="46"/>
      <c r="C52" s="50" t="s">
        <v>28</v>
      </c>
      <c r="D52" s="64" t="n">
        <v>0</v>
      </c>
      <c r="E52" s="64" t="s">
        <v>105</v>
      </c>
      <c r="F52" s="64" t="n">
        <v>57</v>
      </c>
      <c r="G52" s="64" t="s">
        <v>184</v>
      </c>
      <c r="H52" s="122" t="n">
        <f aca="false">H12</f>
        <v>18.9327</v>
      </c>
      <c r="I52" s="241" t="n">
        <v>26.5347</v>
      </c>
      <c r="J52" s="241" t="n">
        <v>45.3376</v>
      </c>
      <c r="K52" s="242" t="n">
        <f aca="false">J52-I52</f>
        <v>18.8029</v>
      </c>
      <c r="L52" s="121" t="n">
        <v>1.84</v>
      </c>
      <c r="M52" s="121" t="n">
        <v>9.26</v>
      </c>
      <c r="N52" s="128"/>
      <c r="O52" s="128"/>
      <c r="P52" s="243" t="n">
        <f aca="false">K52*L52/100</f>
        <v>0.34597336</v>
      </c>
      <c r="Q52" s="122"/>
      <c r="R52" s="122"/>
      <c r="S52" s="240"/>
      <c r="T52" s="122" t="n">
        <f aca="false">1000*P52/H52</f>
        <v>18.2738521182927</v>
      </c>
      <c r="U52" s="122"/>
      <c r="V52" s="194"/>
      <c r="W52" s="194" t="n">
        <f aca="false">100*T52/(T12+T32+T52)</f>
        <v>86.5922153210643</v>
      </c>
      <c r="X52" s="244" t="n">
        <f aca="false">QUARTILE(W51:W55,1)-(1.5*(QUARTILE(W51:W55,3)-QUARTILE(W51:W55,1)))</f>
        <v>83.5491520006663</v>
      </c>
      <c r="Y52" s="240"/>
      <c r="Z52" s="245"/>
      <c r="AA52" s="245"/>
      <c r="AB52" s="245"/>
      <c r="AC52" s="245"/>
      <c r="AD52" s="240"/>
    </row>
    <row r="53" customFormat="false" ht="12.8" hidden="false" customHeight="false" outlineLevel="0" collapsed="false">
      <c r="B53" s="46"/>
      <c r="C53" s="50" t="s">
        <v>28</v>
      </c>
      <c r="D53" s="64" t="n">
        <v>0</v>
      </c>
      <c r="E53" s="64" t="s">
        <v>108</v>
      </c>
      <c r="F53" s="64" t="n">
        <v>58</v>
      </c>
      <c r="G53" s="64" t="s">
        <v>184</v>
      </c>
      <c r="H53" s="122" t="n">
        <f aca="false">H13</f>
        <v>18.9927</v>
      </c>
      <c r="I53" s="241" t="n">
        <v>25.0103</v>
      </c>
      <c r="J53" s="241" t="n">
        <v>43.848</v>
      </c>
      <c r="K53" s="242" t="n">
        <f aca="false">J53-I53</f>
        <v>18.8377</v>
      </c>
      <c r="L53" s="121" t="n">
        <v>1.85</v>
      </c>
      <c r="M53" s="121" t="n">
        <v>9.28</v>
      </c>
      <c r="N53" s="128"/>
      <c r="O53" s="128"/>
      <c r="P53" s="243" t="n">
        <f aca="false">K53*L53/100</f>
        <v>0.34849745</v>
      </c>
      <c r="Q53" s="122"/>
      <c r="R53" s="122"/>
      <c r="S53" s="240"/>
      <c r="T53" s="122" t="n">
        <f aca="false">1000*P53/H53</f>
        <v>18.3490209396242</v>
      </c>
      <c r="U53" s="122"/>
      <c r="V53" s="194"/>
      <c r="W53" s="194" t="n">
        <f aca="false">100*T53/(T13+T33+T53)</f>
        <v>83.8995187936177</v>
      </c>
      <c r="X53" s="244" t="n">
        <f aca="false">QUARTILE(W51:W55,3)+(1.5*(QUARTILE(W51:W55,3)-QUARTILE(W51:W55,1)))</f>
        <v>91.6639875217274</v>
      </c>
      <c r="Y53" s="240"/>
      <c r="Z53" s="245"/>
      <c r="AA53" s="245"/>
      <c r="AB53" s="245"/>
      <c r="AC53" s="245"/>
      <c r="AD53" s="240"/>
    </row>
    <row r="54" customFormat="false" ht="12.8" hidden="false" customHeight="false" outlineLevel="0" collapsed="false">
      <c r="B54" s="46"/>
      <c r="C54" s="50" t="s">
        <v>28</v>
      </c>
      <c r="D54" s="64" t="n">
        <v>0</v>
      </c>
      <c r="E54" s="64" t="s">
        <v>111</v>
      </c>
      <c r="F54" s="64" t="n">
        <v>59</v>
      </c>
      <c r="G54" s="64" t="s">
        <v>184</v>
      </c>
      <c r="H54" s="122" t="n">
        <f aca="false">H14</f>
        <v>18.8073</v>
      </c>
      <c r="I54" s="241" t="n">
        <v>25.3727</v>
      </c>
      <c r="J54" s="241" t="n">
        <v>44.0621</v>
      </c>
      <c r="K54" s="242" t="n">
        <f aca="false">J54-I54</f>
        <v>18.6894</v>
      </c>
      <c r="L54" s="121" t="n">
        <v>1.93</v>
      </c>
      <c r="M54" s="121" t="n">
        <v>9.28</v>
      </c>
      <c r="N54" s="128"/>
      <c r="O54" s="128"/>
      <c r="P54" s="243" t="n">
        <f aca="false">K54*L54/100</f>
        <v>0.36070542</v>
      </c>
      <c r="Q54" s="122"/>
      <c r="R54" s="122"/>
      <c r="S54" s="240"/>
      <c r="T54" s="122" t="n">
        <f aca="false">1000*P54/H54</f>
        <v>19.1790113413409</v>
      </c>
      <c r="U54" s="122"/>
      <c r="V54" s="194"/>
      <c r="W54" s="194" t="n">
        <f aca="false">100*T54/(T14+T34+T54)</f>
        <v>88.6682848119188</v>
      </c>
      <c r="X54" s="246"/>
      <c r="Y54" s="240"/>
      <c r="Z54" s="245"/>
      <c r="AA54" s="245"/>
      <c r="AB54" s="245"/>
      <c r="AC54" s="245"/>
      <c r="AD54" s="240"/>
    </row>
    <row r="55" customFormat="false" ht="12.8" hidden="false" customHeight="false" outlineLevel="0" collapsed="false">
      <c r="B55" s="46"/>
      <c r="C55" s="50" t="s">
        <v>28</v>
      </c>
      <c r="D55" s="64" t="n">
        <v>0</v>
      </c>
      <c r="E55" s="64" t="s">
        <v>114</v>
      </c>
      <c r="F55" s="64" t="n">
        <v>60</v>
      </c>
      <c r="G55" s="64" t="s">
        <v>184</v>
      </c>
      <c r="H55" s="122" t="n">
        <f aca="false">H15</f>
        <v>19.2355</v>
      </c>
      <c r="I55" s="241" t="n">
        <v>25.2511</v>
      </c>
      <c r="J55" s="241" t="n">
        <v>44.3676</v>
      </c>
      <c r="K55" s="242" t="n">
        <f aca="false">J55-I55</f>
        <v>19.1165</v>
      </c>
      <c r="L55" s="121" t="n">
        <v>1.95</v>
      </c>
      <c r="M55" s="121" t="n">
        <v>9.98</v>
      </c>
      <c r="N55" s="128"/>
      <c r="O55" s="128"/>
      <c r="P55" s="243" t="n">
        <f aca="false">K55*L55/100</f>
        <v>0.37277175</v>
      </c>
      <c r="Q55" s="122"/>
      <c r="R55" s="122"/>
      <c r="S55" s="240"/>
      <c r="T55" s="122" t="n">
        <f aca="false">1000*P55/H55</f>
        <v>19.3793636765356</v>
      </c>
      <c r="U55" s="122"/>
      <c r="V55" s="194"/>
      <c r="W55" s="194" t="n">
        <f aca="false">100*T55/(T15+T35+T55)</f>
        <v>88.6209242013295</v>
      </c>
      <c r="X55" s="122"/>
      <c r="Y55" s="240"/>
      <c r="Z55" s="245"/>
      <c r="AA55" s="245"/>
      <c r="AB55" s="245"/>
      <c r="AC55" s="245"/>
      <c r="AD55" s="240"/>
    </row>
    <row r="56" customFormat="false" ht="12.8" hidden="false" customHeight="false" outlineLevel="0" collapsed="false">
      <c r="B56" s="46"/>
      <c r="C56" s="176" t="s">
        <v>28</v>
      </c>
      <c r="D56" s="247" t="n">
        <v>1</v>
      </c>
      <c r="E56" s="247" t="s">
        <v>103</v>
      </c>
      <c r="F56" s="247" t="n">
        <v>61</v>
      </c>
      <c r="G56" s="247" t="s">
        <v>184</v>
      </c>
      <c r="H56" s="181" t="n">
        <f aca="false">H16</f>
        <v>18.9819</v>
      </c>
      <c r="I56" s="248" t="n">
        <v>25.584</v>
      </c>
      <c r="J56" s="248" t="n">
        <v>44.4842</v>
      </c>
      <c r="K56" s="249" t="n">
        <f aca="false">J56-I56</f>
        <v>18.9002</v>
      </c>
      <c r="L56" s="179" t="n">
        <v>1.96</v>
      </c>
      <c r="M56" s="179" t="n">
        <v>9.61</v>
      </c>
      <c r="N56" s="250" t="n">
        <f aca="false">AVERAGE(M56:M60)</f>
        <v>9.514</v>
      </c>
      <c r="O56" s="250" t="n">
        <f aca="false">STDEV(M56:M60)</f>
        <v>0.0789303490426845</v>
      </c>
      <c r="P56" s="251" t="n">
        <f aca="false">K56*L56/100</f>
        <v>0.37044392</v>
      </c>
      <c r="Q56" s="181"/>
      <c r="R56" s="181"/>
      <c r="S56" s="252"/>
      <c r="T56" s="181" t="n">
        <f aca="false">1000*P56/H56</f>
        <v>19.5156396356529</v>
      </c>
      <c r="U56" s="181" t="n">
        <f aca="false">AVERAGE(T56:T60)</f>
        <v>18.5656762302068</v>
      </c>
      <c r="V56" s="181" t="n">
        <f aca="false">STDEV(T56:T60)</f>
        <v>0.612770798786161</v>
      </c>
      <c r="W56" s="259" t="n">
        <f aca="false">100*T56/(T16+T36+T56)</f>
        <v>92.1195819082477</v>
      </c>
      <c r="X56" s="181" t="n">
        <f aca="false">AVERAGE(W56:W60)</f>
        <v>88.3128348786815</v>
      </c>
      <c r="Y56" s="252" t="n">
        <f aca="false">STDEV(W56:W60)</f>
        <v>2.38594080839377</v>
      </c>
      <c r="Z56" s="253"/>
      <c r="AA56" s="253"/>
      <c r="AB56" s="253"/>
      <c r="AC56" s="253"/>
      <c r="AD56" s="240"/>
    </row>
    <row r="57" customFormat="false" ht="12.8" hidden="false" customHeight="false" outlineLevel="0" collapsed="false">
      <c r="B57" s="46"/>
      <c r="C57" s="50" t="s">
        <v>28</v>
      </c>
      <c r="D57" s="64" t="n">
        <v>1</v>
      </c>
      <c r="E57" s="64" t="s">
        <v>105</v>
      </c>
      <c r="F57" s="64" t="n">
        <v>62</v>
      </c>
      <c r="G57" s="64" t="s">
        <v>184</v>
      </c>
      <c r="H57" s="122" t="n">
        <f aca="false">H17</f>
        <v>19.0768</v>
      </c>
      <c r="I57" s="241" t="n">
        <v>25.2076</v>
      </c>
      <c r="J57" s="241" t="n">
        <v>44.1561</v>
      </c>
      <c r="K57" s="242" t="n">
        <f aca="false">J57-I57</f>
        <v>18.9485</v>
      </c>
      <c r="L57" s="121" t="n">
        <v>1.87</v>
      </c>
      <c r="M57" s="121" t="n">
        <v>9.52</v>
      </c>
      <c r="N57" s="128"/>
      <c r="O57" s="128"/>
      <c r="P57" s="243" t="n">
        <f aca="false">K57*L57/100</f>
        <v>0.35433695</v>
      </c>
      <c r="Q57" s="122"/>
      <c r="R57" s="122"/>
      <c r="S57" s="240"/>
      <c r="T57" s="122" t="n">
        <f aca="false">1000*P57/H57</f>
        <v>18.5742341482848</v>
      </c>
      <c r="U57" s="122"/>
      <c r="V57" s="194"/>
      <c r="W57" s="194" t="n">
        <f aca="false">100*T57/(T17+T37+T57)</f>
        <v>86.8833503865709</v>
      </c>
      <c r="X57" s="244" t="n">
        <f aca="false">QUARTILE(W56:W60,1)-(1.5*(QUARTILE(W56:W60,3)-QUARTILE(W56:W60,1)))</f>
        <v>84.1547092834577</v>
      </c>
      <c r="Y57" s="240"/>
      <c r="Z57" s="245"/>
      <c r="AA57" s="245"/>
      <c r="AB57" s="245"/>
      <c r="AC57" s="245"/>
      <c r="AD57" s="240"/>
    </row>
    <row r="58" customFormat="false" ht="12.8" hidden="false" customHeight="false" outlineLevel="0" collapsed="false">
      <c r="B58" s="46"/>
      <c r="C58" s="50" t="s">
        <v>28</v>
      </c>
      <c r="D58" s="64" t="n">
        <v>1</v>
      </c>
      <c r="E58" s="64" t="s">
        <v>108</v>
      </c>
      <c r="F58" s="64" t="n">
        <v>63</v>
      </c>
      <c r="G58" s="64" t="s">
        <v>184</v>
      </c>
      <c r="H58" s="122" t="n">
        <f aca="false">H18</f>
        <v>18.9259</v>
      </c>
      <c r="I58" s="241" t="n">
        <v>23.5395</v>
      </c>
      <c r="J58" s="241" t="n">
        <v>42.3159</v>
      </c>
      <c r="K58" s="242" t="n">
        <f aca="false">J58-I58</f>
        <v>18.7764</v>
      </c>
      <c r="L58" s="121" t="n">
        <v>1.88</v>
      </c>
      <c r="M58" s="121" t="n">
        <v>9.57</v>
      </c>
      <c r="N58" s="128"/>
      <c r="O58" s="128"/>
      <c r="P58" s="243" t="n">
        <f aca="false">K58*L58/100</f>
        <v>0.35299632</v>
      </c>
      <c r="Q58" s="122"/>
      <c r="R58" s="122"/>
      <c r="S58" s="240"/>
      <c r="T58" s="122" t="n">
        <f aca="false">1000*P58/H58</f>
        <v>18.6514945128105</v>
      </c>
      <c r="U58" s="122"/>
      <c r="V58" s="194"/>
      <c r="W58" s="194" t="n">
        <f aca="false">100*T58/(T18+T38+T58)</f>
        <v>85.8672032101144</v>
      </c>
      <c r="X58" s="244" t="n">
        <f aca="false">QUARTILE(W56:W60,3)+(1.5*(QUARTILE(W56:W60,3)-QUARTILE(W56:W60,1)))</f>
        <v>91.4310855584262</v>
      </c>
      <c r="Y58" s="240"/>
      <c r="Z58" s="245"/>
      <c r="AA58" s="245"/>
      <c r="AB58" s="245"/>
      <c r="AC58" s="245"/>
      <c r="AD58" s="240"/>
    </row>
    <row r="59" customFormat="false" ht="12.8" hidden="false" customHeight="false" outlineLevel="0" collapsed="false">
      <c r="B59" s="46"/>
      <c r="C59" s="50" t="s">
        <v>28</v>
      </c>
      <c r="D59" s="64" t="n">
        <v>1</v>
      </c>
      <c r="E59" s="64" t="s">
        <v>111</v>
      </c>
      <c r="F59" s="64" t="n">
        <v>64</v>
      </c>
      <c r="G59" s="64" t="s">
        <v>184</v>
      </c>
      <c r="H59" s="122" t="n">
        <f aca="false">H19</f>
        <v>18.8677</v>
      </c>
      <c r="I59" s="241" t="n">
        <v>25.4117</v>
      </c>
      <c r="J59" s="241" t="n">
        <v>44.1726</v>
      </c>
      <c r="K59" s="242" t="n">
        <f aca="false">J59-I59</f>
        <v>18.7609</v>
      </c>
      <c r="L59" s="121" t="n">
        <v>1.83</v>
      </c>
      <c r="M59" s="121" t="n">
        <v>9.44</v>
      </c>
      <c r="N59" s="128"/>
      <c r="O59" s="128"/>
      <c r="P59" s="243" t="n">
        <f aca="false">K59*L59/100</f>
        <v>0.34332447</v>
      </c>
      <c r="Q59" s="122"/>
      <c r="R59" s="122"/>
      <c r="S59" s="240"/>
      <c r="T59" s="122" t="n">
        <f aca="false">1000*P59/H59</f>
        <v>18.19641344732</v>
      </c>
      <c r="U59" s="122"/>
      <c r="V59" s="194"/>
      <c r="W59" s="194" t="n">
        <f aca="false">100*T59/(T19+T39+T59)</f>
        <v>88.702444455313</v>
      </c>
      <c r="X59" s="246"/>
      <c r="Y59" s="240"/>
      <c r="Z59" s="245"/>
      <c r="AA59" s="245"/>
      <c r="AB59" s="245"/>
      <c r="AC59" s="245"/>
      <c r="AD59" s="240"/>
    </row>
    <row r="60" customFormat="false" ht="12.8" hidden="false" customHeight="false" outlineLevel="0" collapsed="false">
      <c r="B60" s="46"/>
      <c r="C60" s="50" t="s">
        <v>28</v>
      </c>
      <c r="D60" s="64" t="n">
        <v>1</v>
      </c>
      <c r="E60" s="64" t="s">
        <v>114</v>
      </c>
      <c r="F60" s="64" t="n">
        <v>65</v>
      </c>
      <c r="G60" s="255" t="s">
        <v>184</v>
      </c>
      <c r="H60" s="194" t="n">
        <f aca="false">H20</f>
        <v>18.9871</v>
      </c>
      <c r="I60" s="241" t="n">
        <v>25.3313</v>
      </c>
      <c r="J60" s="241" t="n">
        <v>44.203</v>
      </c>
      <c r="K60" s="242" t="n">
        <f aca="false">J60-I60</f>
        <v>18.8717</v>
      </c>
      <c r="L60" s="121" t="n">
        <v>1.8</v>
      </c>
      <c r="M60" s="121" t="n">
        <v>9.43</v>
      </c>
      <c r="N60" s="128"/>
      <c r="O60" s="128"/>
      <c r="P60" s="243" t="n">
        <f aca="false">K60*L60/100</f>
        <v>0.3396906</v>
      </c>
      <c r="Q60" s="194"/>
      <c r="R60" s="194"/>
      <c r="S60" s="240"/>
      <c r="T60" s="194" t="n">
        <f aca="false">1000*P60/H60</f>
        <v>17.8905994069658</v>
      </c>
      <c r="U60" s="194"/>
      <c r="V60" s="194"/>
      <c r="W60" s="194" t="n">
        <f aca="false">100*T60/(T20+T40+T60)</f>
        <v>87.9915944331616</v>
      </c>
      <c r="X60" s="194"/>
      <c r="Y60" s="240"/>
      <c r="Z60" s="245"/>
      <c r="AA60" s="245"/>
      <c r="AB60" s="245"/>
      <c r="AC60" s="245"/>
      <c r="AD60" s="240"/>
    </row>
    <row r="61" customFormat="false" ht="12.8" hidden="false" customHeight="false" outlineLevel="0" collapsed="false">
      <c r="B61" s="46"/>
      <c r="C61" s="176" t="s">
        <v>28</v>
      </c>
      <c r="D61" s="247" t="n">
        <v>4</v>
      </c>
      <c r="E61" s="247" t="s">
        <v>103</v>
      </c>
      <c r="F61" s="247" t="n">
        <v>66</v>
      </c>
      <c r="G61" s="247" t="s">
        <v>184</v>
      </c>
      <c r="H61" s="181" t="n">
        <f aca="false">H21</f>
        <v>19.0326</v>
      </c>
      <c r="I61" s="248" t="n">
        <v>26.5778</v>
      </c>
      <c r="J61" s="248" t="n">
        <v>45.5443</v>
      </c>
      <c r="K61" s="249" t="n">
        <f aca="false">J61-I61</f>
        <v>18.9665</v>
      </c>
      <c r="L61" s="179" t="n">
        <v>1.86</v>
      </c>
      <c r="M61" s="179" t="n">
        <v>9.47</v>
      </c>
      <c r="N61" s="250" t="n">
        <f aca="false">AVERAGE(M61:M65)</f>
        <v>9.302</v>
      </c>
      <c r="O61" s="250" t="n">
        <f aca="false">STDEV(M61:M65)</f>
        <v>0.480385262055363</v>
      </c>
      <c r="P61" s="251" t="n">
        <f aca="false">K61*L61/100</f>
        <v>0.3527769</v>
      </c>
      <c r="Q61" s="181"/>
      <c r="R61" s="181"/>
      <c r="S61" s="252"/>
      <c r="T61" s="181" t="n">
        <f aca="false">1000*P61/H61</f>
        <v>18.5354024148041</v>
      </c>
      <c r="U61" s="181" t="n">
        <f aca="false">AVERAGE(T61:T65)</f>
        <v>18.3986746021937</v>
      </c>
      <c r="V61" s="181" t="n">
        <f aca="false">STDEV(T61:T65)</f>
        <v>0.570381428187003</v>
      </c>
      <c r="W61" s="181" t="n">
        <f aca="false">100*T61/(T21+T41+T61)</f>
        <v>92.149185089787</v>
      </c>
      <c r="X61" s="181" t="n">
        <f aca="false">AVERAGE(W61:W65)</f>
        <v>90.0369090866952</v>
      </c>
      <c r="Y61" s="252" t="n">
        <f aca="false">STDEV(W61:W65)</f>
        <v>3.31104255066062</v>
      </c>
      <c r="Z61" s="253"/>
      <c r="AA61" s="253"/>
      <c r="AB61" s="253"/>
      <c r="AC61" s="253"/>
      <c r="AD61" s="240"/>
    </row>
    <row r="62" customFormat="false" ht="12.8" hidden="false" customHeight="false" outlineLevel="0" collapsed="false">
      <c r="B62" s="46"/>
      <c r="C62" s="50" t="s">
        <v>28</v>
      </c>
      <c r="D62" s="64" t="n">
        <v>4</v>
      </c>
      <c r="E62" s="64" t="s">
        <v>105</v>
      </c>
      <c r="F62" s="64" t="n">
        <v>67</v>
      </c>
      <c r="G62" s="64" t="s">
        <v>184</v>
      </c>
      <c r="H62" s="122" t="n">
        <f aca="false">H22</f>
        <v>19.1585</v>
      </c>
      <c r="I62" s="241" t="n">
        <v>26.5777</v>
      </c>
      <c r="J62" s="241" t="n">
        <v>45.6374</v>
      </c>
      <c r="K62" s="242" t="n">
        <f aca="false">J62-I62</f>
        <v>19.0597</v>
      </c>
      <c r="L62" s="121" t="n">
        <v>1.86</v>
      </c>
      <c r="M62" s="121" t="n">
        <v>9.46</v>
      </c>
      <c r="N62" s="128"/>
      <c r="O62" s="128"/>
      <c r="P62" s="243" t="n">
        <f aca="false">K62*L62/100</f>
        <v>0.35451042</v>
      </c>
      <c r="Q62" s="122"/>
      <c r="R62" s="122"/>
      <c r="S62" s="240"/>
      <c r="T62" s="122" t="n">
        <f aca="false">1000*P62/H62</f>
        <v>18.5040801732912</v>
      </c>
      <c r="U62" s="122"/>
      <c r="V62" s="194"/>
      <c r="W62" s="194" t="n">
        <f aca="false">100*T62/(T22+T42+T62)</f>
        <v>90.6245115814722</v>
      </c>
      <c r="X62" s="244" t="n">
        <f aca="false">QUARTILE(W61:W65,1)-(1.5*(QUARTILE(W61:W65,3)-QUARTILE(W61:W65,1)))</f>
        <v>79.9109123119299</v>
      </c>
      <c r="Y62" s="240"/>
      <c r="Z62" s="245"/>
      <c r="AA62" s="245"/>
      <c r="AB62" s="245"/>
      <c r="AC62" s="245"/>
      <c r="AD62" s="240"/>
    </row>
    <row r="63" customFormat="false" ht="12.8" hidden="false" customHeight="false" outlineLevel="0" collapsed="false">
      <c r="B63" s="46"/>
      <c r="C63" s="50" t="s">
        <v>28</v>
      </c>
      <c r="D63" s="64" t="n">
        <v>4</v>
      </c>
      <c r="E63" s="64" t="s">
        <v>108</v>
      </c>
      <c r="F63" s="64" t="n">
        <v>68</v>
      </c>
      <c r="G63" s="64" t="s">
        <v>184</v>
      </c>
      <c r="H63" s="122" t="n">
        <f aca="false">H23</f>
        <v>19.1694</v>
      </c>
      <c r="I63" s="241" t="n">
        <v>24.6571</v>
      </c>
      <c r="J63" s="241" t="n">
        <v>43.7585</v>
      </c>
      <c r="K63" s="242" t="n">
        <f aca="false">J63-I63</f>
        <v>19.1014</v>
      </c>
      <c r="L63" s="121" t="n">
        <v>1.93</v>
      </c>
      <c r="M63" s="121" t="n">
        <v>9.76</v>
      </c>
      <c r="N63" s="128"/>
      <c r="O63" s="128"/>
      <c r="P63" s="243" t="n">
        <f aca="false">K63*L63/100</f>
        <v>0.36865702</v>
      </c>
      <c r="Q63" s="122"/>
      <c r="R63" s="122"/>
      <c r="S63" s="240"/>
      <c r="T63" s="122" t="n">
        <f aca="false">1000*P63/H63</f>
        <v>19.2315367199808</v>
      </c>
      <c r="U63" s="122"/>
      <c r="V63" s="194"/>
      <c r="W63" s="194" t="n">
        <f aca="false">100*T63/(T23+T43+T63)</f>
        <v>94.034260264174</v>
      </c>
      <c r="X63" s="244" t="n">
        <f aca="false">QUARTILE(W61:W65,3)+(1.5*(QUARTILE(W61:W65,3)-QUARTILE(W61:W65,1)))</f>
        <v>99.4921487565013</v>
      </c>
      <c r="Y63" s="240"/>
      <c r="Z63" s="245"/>
      <c r="AA63" s="245"/>
      <c r="AB63" s="245"/>
      <c r="AC63" s="245"/>
      <c r="AD63" s="240"/>
    </row>
    <row r="64" customFormat="false" ht="12.8" hidden="false" customHeight="false" outlineLevel="0" collapsed="false">
      <c r="B64" s="46"/>
      <c r="C64" s="50" t="s">
        <v>28</v>
      </c>
      <c r="D64" s="64" t="n">
        <v>4</v>
      </c>
      <c r="E64" s="64" t="s">
        <v>111</v>
      </c>
      <c r="F64" s="64" t="n">
        <v>69</v>
      </c>
      <c r="G64" s="64" t="s">
        <v>184</v>
      </c>
      <c r="H64" s="122" t="n">
        <f aca="false">H24</f>
        <v>18.8389</v>
      </c>
      <c r="I64" s="241" t="n">
        <v>25.2742</v>
      </c>
      <c r="J64" s="241" t="n">
        <f aca="false">43.9617</f>
        <v>43.9617</v>
      </c>
      <c r="K64" s="242" t="n">
        <f aca="false">J64-I64</f>
        <v>18.6875</v>
      </c>
      <c r="L64" s="121" t="n">
        <v>1.8</v>
      </c>
      <c r="M64" s="121" t="n">
        <v>9.33</v>
      </c>
      <c r="N64" s="128"/>
      <c r="O64" s="128"/>
      <c r="P64" s="243" t="n">
        <f aca="false">K64*L64/100</f>
        <v>0.336375</v>
      </c>
      <c r="Q64" s="122"/>
      <c r="R64" s="122"/>
      <c r="S64" s="240"/>
      <c r="T64" s="122" t="n">
        <f aca="false">1000*P64/H64</f>
        <v>17.8553418724023</v>
      </c>
      <c r="U64" s="122"/>
      <c r="V64" s="194"/>
      <c r="W64" s="194" t="n">
        <f aca="false">100*T64/(T24+T44+T64)</f>
        <v>87.2538759786442</v>
      </c>
      <c r="X64" s="246"/>
      <c r="Y64" s="240"/>
      <c r="Z64" s="245"/>
      <c r="AA64" s="245"/>
      <c r="AB64" s="245"/>
      <c r="AC64" s="245"/>
      <c r="AD64" s="240"/>
    </row>
    <row r="65" customFormat="false" ht="12.8" hidden="false" customHeight="false" outlineLevel="0" collapsed="false">
      <c r="B65" s="46"/>
      <c r="C65" s="50" t="s">
        <v>28</v>
      </c>
      <c r="D65" s="64" t="n">
        <v>4</v>
      </c>
      <c r="E65" s="64" t="s">
        <v>114</v>
      </c>
      <c r="F65" s="64" t="n">
        <v>70</v>
      </c>
      <c r="G65" s="255" t="s">
        <v>184</v>
      </c>
      <c r="H65" s="194" t="n">
        <f aca="false">H25</f>
        <v>19.3145</v>
      </c>
      <c r="I65" s="241" t="n">
        <v>25.3513</v>
      </c>
      <c r="J65" s="241" t="n">
        <v>44.5231</v>
      </c>
      <c r="K65" s="242" t="n">
        <f aca="false">J65-I65</f>
        <v>19.1718</v>
      </c>
      <c r="L65" s="121" t="n">
        <v>1.8</v>
      </c>
      <c r="M65" s="121" t="n">
        <v>8.49</v>
      </c>
      <c r="N65" s="128"/>
      <c r="O65" s="128"/>
      <c r="P65" s="243" t="n">
        <f aca="false">K65*L65/100</f>
        <v>0.3450924</v>
      </c>
      <c r="Q65" s="194"/>
      <c r="R65" s="194"/>
      <c r="S65" s="240"/>
      <c r="T65" s="194" t="n">
        <f aca="false">1000*P65/H65</f>
        <v>17.86701183049</v>
      </c>
      <c r="U65" s="194"/>
      <c r="V65" s="194"/>
      <c r="W65" s="194" t="n">
        <f aca="false">100*T65/(T25+T45+T65)</f>
        <v>86.1227125193986</v>
      </c>
      <c r="X65" s="194"/>
      <c r="Y65" s="240"/>
      <c r="Z65" s="245"/>
      <c r="AA65" s="245"/>
      <c r="AB65" s="245"/>
      <c r="AC65" s="245"/>
      <c r="AD65" s="240"/>
    </row>
    <row r="66" customFormat="false" ht="12.8" hidden="false" customHeight="false" outlineLevel="0" collapsed="false">
      <c r="B66" s="46"/>
      <c r="C66" s="96" t="s">
        <v>21</v>
      </c>
      <c r="D66" s="234" t="s">
        <v>158</v>
      </c>
      <c r="E66" s="59" t="s">
        <v>103</v>
      </c>
      <c r="F66" s="59" t="s">
        <v>185</v>
      </c>
      <c r="G66" s="59" t="n">
        <v>0</v>
      </c>
      <c r="H66" s="212" t="n">
        <f aca="false">K66+K86+K106</f>
        <v>20.2892</v>
      </c>
      <c r="I66" s="235" t="n">
        <v>8.8988</v>
      </c>
      <c r="J66" s="235" t="n">
        <v>9.0117</v>
      </c>
      <c r="K66" s="236" t="n">
        <f aca="false">J66-I66</f>
        <v>0.1129</v>
      </c>
      <c r="L66" s="237" t="n">
        <v>21.78</v>
      </c>
      <c r="M66" s="237" t="n">
        <v>18.77</v>
      </c>
      <c r="N66" s="238" t="n">
        <f aca="false">AVERAGE(M66:M70)</f>
        <v>20.076</v>
      </c>
      <c r="O66" s="238" t="n">
        <f aca="false">STDEV(M66:M70)</f>
        <v>1.53586457736351</v>
      </c>
      <c r="P66" s="239" t="n">
        <f aca="false">K66*L66/100</f>
        <v>0.02458962</v>
      </c>
      <c r="Q66" s="212" t="n">
        <f aca="false">1000*K66/H66</f>
        <v>5.56453679790232</v>
      </c>
      <c r="R66" s="212" t="n">
        <f aca="false">AVERAGE(Q66:Q70)</f>
        <v>3.71201970674987</v>
      </c>
      <c r="S66" s="215" t="n">
        <f aca="false">STDEV(Q66:Q70)</f>
        <v>1.39884186949995</v>
      </c>
      <c r="T66" s="212" t="n">
        <f aca="false">1000*P66/H66</f>
        <v>1.21195611458313</v>
      </c>
      <c r="U66" s="212" t="n">
        <f aca="false">AVERAGE(T66:T70)</f>
        <v>1.16374623524601</v>
      </c>
      <c r="V66" s="212" t="n">
        <f aca="false">STDEV(T66:T70)</f>
        <v>0.350951301115547</v>
      </c>
      <c r="W66" s="212" t="n">
        <f aca="false">100*T66/(T66+T86+T106)</f>
        <v>3.456767665635</v>
      </c>
      <c r="X66" s="212" t="n">
        <f aca="false">AVERAGE(W66:W70)</f>
        <v>3.38120176055054</v>
      </c>
      <c r="Y66" s="215" t="n">
        <f aca="false">STDEV(W66:W70)</f>
        <v>0.98134180433098</v>
      </c>
      <c r="Z66" s="213"/>
      <c r="AA66" s="257" t="n">
        <f aca="false">TTEST(W66:W70,W71:W75,2,2)</f>
        <v>0.00523544679698912</v>
      </c>
      <c r="AB66" s="213" t="n">
        <f aca="false">TTEST(W66:W70,W76:W80,2,2)</f>
        <v>0.125521894599424</v>
      </c>
      <c r="AC66" s="213" t="n">
        <f aca="false">TTEST(W66:W70,W81:W85,2,2)</f>
        <v>0.188976940049012</v>
      </c>
      <c r="AD66" s="240"/>
    </row>
    <row r="67" customFormat="false" ht="12.8" hidden="false" customHeight="false" outlineLevel="0" collapsed="false">
      <c r="B67" s="46"/>
      <c r="C67" s="50" t="s">
        <v>21</v>
      </c>
      <c r="D67" s="64" t="s">
        <v>158</v>
      </c>
      <c r="E67" s="64" t="s">
        <v>105</v>
      </c>
      <c r="F67" s="64" t="s">
        <v>185</v>
      </c>
      <c r="G67" s="64" t="n">
        <v>0</v>
      </c>
      <c r="H67" s="122" t="n">
        <f aca="false">K67+K87+K107</f>
        <v>19.8799</v>
      </c>
      <c r="I67" s="241" t="n">
        <v>8.2369</v>
      </c>
      <c r="J67" s="241" t="n">
        <v>8.298</v>
      </c>
      <c r="K67" s="242" t="n">
        <f aca="false">J67-I67</f>
        <v>0.0610999999999997</v>
      </c>
      <c r="L67" s="121" t="n">
        <v>34.18</v>
      </c>
      <c r="M67" s="121" t="n">
        <v>21.09</v>
      </c>
      <c r="N67" s="128"/>
      <c r="O67" s="128"/>
      <c r="P67" s="243" t="n">
        <f aca="false">K67*L67/100</f>
        <v>0.0208839799999999</v>
      </c>
      <c r="Q67" s="122" t="n">
        <f aca="false">1000*K67/H67</f>
        <v>3.07345610390393</v>
      </c>
      <c r="R67" s="122"/>
      <c r="S67" s="240"/>
      <c r="T67" s="122" t="n">
        <f aca="false">1000*P67/H67</f>
        <v>1.05050729631436</v>
      </c>
      <c r="U67" s="122"/>
      <c r="V67" s="194"/>
      <c r="W67" s="194" t="n">
        <f aca="false">100*T67/(T67+T87+T107)</f>
        <v>3.20908400908709</v>
      </c>
      <c r="X67" s="244" t="n">
        <f aca="false">QUARTILE(W66:W70,1)-(1.5*(QUARTILE(W66:W70,3)-QUARTILE(W66:W70,1)))</f>
        <v>2.83755852426523</v>
      </c>
      <c r="Y67" s="240"/>
      <c r="Z67" s="245"/>
      <c r="AA67" s="245"/>
      <c r="AB67" s="245"/>
      <c r="AC67" s="245"/>
      <c r="AD67" s="240"/>
    </row>
    <row r="68" customFormat="false" ht="12.8" hidden="false" customHeight="false" outlineLevel="0" collapsed="false">
      <c r="B68" s="46"/>
      <c r="C68" s="50" t="s">
        <v>21</v>
      </c>
      <c r="D68" s="64" t="s">
        <v>158</v>
      </c>
      <c r="E68" s="64" t="s">
        <v>108</v>
      </c>
      <c r="F68" s="64" t="s">
        <v>185</v>
      </c>
      <c r="G68" s="64" t="n">
        <v>0</v>
      </c>
      <c r="H68" s="122" t="n">
        <f aca="false">K68+K88+K108</f>
        <v>20.1166</v>
      </c>
      <c r="I68" s="241" t="n">
        <v>8.9095</v>
      </c>
      <c r="J68" s="241" t="n">
        <v>8.9914</v>
      </c>
      <c r="K68" s="242" t="n">
        <f aca="false">J68-I68</f>
        <v>0.081900000000001</v>
      </c>
      <c r="L68" s="121" t="n">
        <v>41.26</v>
      </c>
      <c r="M68" s="121" t="n">
        <v>22.28</v>
      </c>
      <c r="N68" s="128"/>
      <c r="O68" s="128"/>
      <c r="P68" s="243" t="n">
        <f aca="false">K68*L68/100</f>
        <v>0.0337919400000004</v>
      </c>
      <c r="Q68" s="122" t="n">
        <f aca="false">1000*K68/H68</f>
        <v>4.07126452780296</v>
      </c>
      <c r="R68" s="122"/>
      <c r="S68" s="240"/>
      <c r="T68" s="122" t="n">
        <f aca="false">1000*P68/H68</f>
        <v>1.6798037441715</v>
      </c>
      <c r="U68" s="122"/>
      <c r="V68" s="194"/>
      <c r="W68" s="258" t="n">
        <f aca="false">100*T68/(T68+T88+T108)</f>
        <v>4.83471115883139</v>
      </c>
      <c r="X68" s="244" t="n">
        <f aca="false">QUARTILE(W66:W70,3)+(1.5*(QUARTILE(W66:W70,3)-QUARTILE(W66:W70,1)))</f>
        <v>3.82829315045687</v>
      </c>
      <c r="Y68" s="240"/>
      <c r="Z68" s="245"/>
      <c r="AA68" s="245"/>
      <c r="AB68" s="245"/>
      <c r="AC68" s="245"/>
      <c r="AD68" s="240"/>
    </row>
    <row r="69" customFormat="false" ht="12.8" hidden="false" customHeight="false" outlineLevel="0" collapsed="false">
      <c r="B69" s="46"/>
      <c r="C69" s="50" t="s">
        <v>21</v>
      </c>
      <c r="D69" s="64" t="s">
        <v>158</v>
      </c>
      <c r="E69" s="64" t="s">
        <v>111</v>
      </c>
      <c r="F69" s="64" t="s">
        <v>185</v>
      </c>
      <c r="G69" s="64" t="n">
        <v>0</v>
      </c>
      <c r="H69" s="122" t="n">
        <f aca="false">K69+K89+K109</f>
        <v>20.1957</v>
      </c>
      <c r="I69" s="241" t="n">
        <v>8.9698</v>
      </c>
      <c r="J69" s="241" t="n">
        <v>9.052</v>
      </c>
      <c r="K69" s="242" t="n">
        <f aca="false">J69-I69</f>
        <v>0.0822000000000003</v>
      </c>
      <c r="L69" s="121" t="n">
        <v>28.8</v>
      </c>
      <c r="M69" s="121" t="n">
        <v>19.21</v>
      </c>
      <c r="N69" s="128"/>
      <c r="O69" s="128"/>
      <c r="P69" s="243" t="n">
        <f aca="false">K69*L69/100</f>
        <v>0.0236736000000001</v>
      </c>
      <c r="Q69" s="122" t="n">
        <f aca="false">1000*K69/H69</f>
        <v>4.07017335373373</v>
      </c>
      <c r="R69" s="122"/>
      <c r="S69" s="240"/>
      <c r="T69" s="122" t="n">
        <f aca="false">1000*P69/H69</f>
        <v>1.17220992587531</v>
      </c>
      <c r="U69" s="122"/>
      <c r="V69" s="194"/>
      <c r="W69" s="194" t="n">
        <f aca="false">100*T69/(T69+T89+T109)</f>
        <v>3.32859667457535</v>
      </c>
      <c r="X69" s="246"/>
      <c r="Y69" s="240"/>
      <c r="Z69" s="245"/>
      <c r="AA69" s="245"/>
      <c r="AB69" s="245"/>
      <c r="AC69" s="245"/>
      <c r="AD69" s="240"/>
    </row>
    <row r="70" customFormat="false" ht="12.8" hidden="false" customHeight="false" outlineLevel="0" collapsed="false">
      <c r="B70" s="46"/>
      <c r="C70" s="50" t="s">
        <v>21</v>
      </c>
      <c r="D70" s="64" t="s">
        <v>158</v>
      </c>
      <c r="E70" s="64" t="s">
        <v>114</v>
      </c>
      <c r="F70" s="64" t="s">
        <v>185</v>
      </c>
      <c r="G70" s="64" t="n">
        <v>0</v>
      </c>
      <c r="H70" s="122" t="n">
        <f aca="false">K70+K90+K110</f>
        <v>19.9925</v>
      </c>
      <c r="I70" s="241" t="n">
        <v>8.9904</v>
      </c>
      <c r="J70" s="241" t="n">
        <v>9.026</v>
      </c>
      <c r="K70" s="242" t="n">
        <f aca="false">J70-I70</f>
        <v>0.0356000000000005</v>
      </c>
      <c r="L70" s="121" t="n">
        <v>39.55</v>
      </c>
      <c r="M70" s="121" t="n">
        <v>19.03</v>
      </c>
      <c r="N70" s="128"/>
      <c r="O70" s="128"/>
      <c r="P70" s="243" t="n">
        <f aca="false">K70*L70/100</f>
        <v>0.0140798000000002</v>
      </c>
      <c r="Q70" s="122" t="n">
        <f aca="false">1000*K70/H70</f>
        <v>1.78066775040643</v>
      </c>
      <c r="R70" s="122"/>
      <c r="S70" s="240"/>
      <c r="T70" s="122" t="n">
        <f aca="false">1000*P70/H70</f>
        <v>0.704254095285742</v>
      </c>
      <c r="U70" s="122"/>
      <c r="V70" s="194"/>
      <c r="W70" s="258" t="n">
        <f aca="false">100*T70/(T70+T90+T110)</f>
        <v>2.07684929462384</v>
      </c>
      <c r="X70" s="122"/>
      <c r="Y70" s="240"/>
      <c r="Z70" s="245"/>
      <c r="AA70" s="245"/>
      <c r="AB70" s="245"/>
      <c r="AC70" s="245"/>
      <c r="AD70" s="240"/>
    </row>
    <row r="71" customFormat="false" ht="12.8" hidden="false" customHeight="false" outlineLevel="0" collapsed="false">
      <c r="B71" s="46"/>
      <c r="C71" s="176" t="s">
        <v>21</v>
      </c>
      <c r="D71" s="247" t="n">
        <v>0</v>
      </c>
      <c r="E71" s="247" t="s">
        <v>103</v>
      </c>
      <c r="F71" s="247" t="s">
        <v>185</v>
      </c>
      <c r="G71" s="247" t="n">
        <v>0</v>
      </c>
      <c r="H71" s="181" t="n">
        <f aca="false">K71+K91+K111</f>
        <v>19.7492</v>
      </c>
      <c r="I71" s="248" t="n">
        <v>5.2664</v>
      </c>
      <c r="J71" s="248" t="n">
        <v>5.4528</v>
      </c>
      <c r="K71" s="249" t="n">
        <f aca="false">J71-I71</f>
        <v>0.1864</v>
      </c>
      <c r="L71" s="179" t="n">
        <v>37.2</v>
      </c>
      <c r="M71" s="179" t="n">
        <v>19.55</v>
      </c>
      <c r="N71" s="250" t="n">
        <f aca="false">AVERAGE(M71:M75)</f>
        <v>19.152</v>
      </c>
      <c r="O71" s="250" t="n">
        <f aca="false">STDEV(M71:M75)</f>
        <v>0.772476536860506</v>
      </c>
      <c r="P71" s="251" t="n">
        <f aca="false">K71*L71/100</f>
        <v>0.0693408</v>
      </c>
      <c r="Q71" s="181" t="n">
        <f aca="false">1000*K71/H71</f>
        <v>9.4383569967391</v>
      </c>
      <c r="R71" s="181" t="n">
        <f aca="false">AVERAGE(Q71:Q75)</f>
        <v>7.85741161015281</v>
      </c>
      <c r="S71" s="252" t="n">
        <f aca="false">STDEV(Q71:Q75)</f>
        <v>3.58312324365275</v>
      </c>
      <c r="T71" s="181" t="n">
        <f aca="false">1000*P71/H71</f>
        <v>3.51106880278695</v>
      </c>
      <c r="U71" s="181" t="n">
        <f aca="false">AVERAGE(T71:T75)</f>
        <v>2.2577043834431</v>
      </c>
      <c r="V71" s="181" t="n">
        <f aca="false">STDEV(T71:T75)</f>
        <v>0.701386727565907</v>
      </c>
      <c r="W71" s="260" t="n">
        <f aca="false">100*T71/(T71+T91+T111)</f>
        <v>9.74927252481986</v>
      </c>
      <c r="X71" s="181" t="n">
        <f aca="false">AVERAGE(W71:W75)</f>
        <v>6.7247809177134</v>
      </c>
      <c r="Y71" s="252" t="n">
        <f aca="false">STDEV(W71:W75)</f>
        <v>1.70518670107367</v>
      </c>
      <c r="Z71" s="253"/>
      <c r="AA71" s="253"/>
      <c r="AB71" s="253"/>
      <c r="AC71" s="261"/>
      <c r="AD71" s="240"/>
    </row>
    <row r="72" customFormat="false" ht="12.8" hidden="false" customHeight="false" outlineLevel="0" collapsed="false">
      <c r="B72" s="46"/>
      <c r="C72" s="50" t="s">
        <v>21</v>
      </c>
      <c r="D72" s="64" t="n">
        <v>0</v>
      </c>
      <c r="E72" s="64" t="s">
        <v>105</v>
      </c>
      <c r="F72" s="64" t="s">
        <v>185</v>
      </c>
      <c r="G72" s="64" t="n">
        <v>0</v>
      </c>
      <c r="H72" s="122" t="n">
        <f aca="false">K72+K92+K112</f>
        <v>19.8986</v>
      </c>
      <c r="I72" s="241" t="n">
        <v>5.3108</v>
      </c>
      <c r="J72" s="241" t="n">
        <v>5.4199</v>
      </c>
      <c r="K72" s="242" t="n">
        <f aca="false">J72-I72</f>
        <v>0.1091</v>
      </c>
      <c r="L72" s="121" t="n">
        <v>35.88</v>
      </c>
      <c r="M72" s="121" t="n">
        <v>20.03</v>
      </c>
      <c r="N72" s="128"/>
      <c r="O72" s="128"/>
      <c r="P72" s="243" t="n">
        <f aca="false">K72*L72/100</f>
        <v>0.0391450799999999</v>
      </c>
      <c r="Q72" s="122" t="n">
        <f aca="false">1000*K72/H72</f>
        <v>5.48279778476876</v>
      </c>
      <c r="R72" s="122"/>
      <c r="S72" s="240"/>
      <c r="T72" s="122" t="n">
        <f aca="false">1000*P72/H72</f>
        <v>1.96722784517503</v>
      </c>
      <c r="U72" s="122"/>
      <c r="V72" s="194"/>
      <c r="W72" s="194" t="n">
        <f aca="false">100*T72/(T72+T92+T112)</f>
        <v>6.20156949687637</v>
      </c>
      <c r="X72" s="244" t="n">
        <f aca="false">QUARTILE(W71:W75,1)-(1.5*(QUARTILE(W71:W75,3)-QUARTILE(W71:W75,1)))</f>
        <v>5.13729993733959</v>
      </c>
      <c r="Y72" s="240"/>
      <c r="Z72" s="245"/>
      <c r="AA72" s="245"/>
      <c r="AB72" s="245"/>
      <c r="AC72" s="245"/>
      <c r="AD72" s="240"/>
    </row>
    <row r="73" customFormat="false" ht="12.8" hidden="false" customHeight="false" outlineLevel="0" collapsed="false">
      <c r="B73" s="46"/>
      <c r="C73" s="50" t="s">
        <v>21</v>
      </c>
      <c r="D73" s="64" t="n">
        <v>0</v>
      </c>
      <c r="E73" s="64" t="s">
        <v>108</v>
      </c>
      <c r="F73" s="64" t="s">
        <v>185</v>
      </c>
      <c r="G73" s="64" t="n">
        <v>0</v>
      </c>
      <c r="H73" s="122" t="n">
        <f aca="false">K73+K93+K113</f>
        <v>20.0658</v>
      </c>
      <c r="I73" s="241" t="n">
        <v>5.2542</v>
      </c>
      <c r="J73" s="241" t="n">
        <v>5.5246</v>
      </c>
      <c r="K73" s="242" t="n">
        <f aca="false">J73-I73</f>
        <v>0.2704</v>
      </c>
      <c r="L73" s="121" t="n">
        <v>14.65</v>
      </c>
      <c r="M73" s="121" t="n">
        <v>18.62</v>
      </c>
      <c r="N73" s="128"/>
      <c r="O73" s="128"/>
      <c r="P73" s="243" t="n">
        <f aca="false">K73*L73/100</f>
        <v>0.0396136000000001</v>
      </c>
      <c r="Q73" s="122" t="n">
        <f aca="false">1000*K73/H73</f>
        <v>13.4756650619462</v>
      </c>
      <c r="R73" s="122"/>
      <c r="S73" s="240"/>
      <c r="T73" s="122" t="n">
        <f aca="false">1000*P73/H73</f>
        <v>1.97418493157512</v>
      </c>
      <c r="U73" s="122"/>
      <c r="V73" s="194"/>
      <c r="W73" s="194" t="n">
        <f aca="false">100*T73/(T73+T93+T113)</f>
        <v>6.17662137831419</v>
      </c>
      <c r="X73" s="244" t="n">
        <f aca="false">QUARTILE(W71:W75,3)+(1.5*(QUARTILE(W71:W75,3)-QUARTILE(W71:W75,1)))</f>
        <v>6.84013123259844</v>
      </c>
      <c r="Y73" s="240"/>
      <c r="Z73" s="245"/>
      <c r="AA73" s="245"/>
      <c r="AB73" s="245"/>
      <c r="AC73" s="245"/>
      <c r="AD73" s="240"/>
    </row>
    <row r="74" customFormat="false" ht="12.8" hidden="false" customHeight="false" outlineLevel="0" collapsed="false">
      <c r="B74" s="46"/>
      <c r="C74" s="50" t="s">
        <v>21</v>
      </c>
      <c r="D74" s="64" t="n">
        <v>0</v>
      </c>
      <c r="E74" s="64" t="s">
        <v>111</v>
      </c>
      <c r="F74" s="64" t="s">
        <v>185</v>
      </c>
      <c r="G74" s="64" t="n">
        <v>0</v>
      </c>
      <c r="H74" s="122" t="n">
        <f aca="false">K74+K94+K114</f>
        <v>19.7892</v>
      </c>
      <c r="I74" s="241" t="n">
        <v>5.3619</v>
      </c>
      <c r="J74" s="241" t="n">
        <v>5.4713</v>
      </c>
      <c r="K74" s="242" t="n">
        <f aca="false">J74-I74</f>
        <v>0.1094</v>
      </c>
      <c r="L74" s="121" t="n">
        <v>34.23</v>
      </c>
      <c r="M74" s="121" t="n">
        <v>18.11</v>
      </c>
      <c r="N74" s="128"/>
      <c r="O74" s="128"/>
      <c r="P74" s="243" t="n">
        <f aca="false">K74*L74/100</f>
        <v>0.03744762</v>
      </c>
      <c r="Q74" s="122" t="n">
        <f aca="false">1000*K74/H74</f>
        <v>5.52826794413114</v>
      </c>
      <c r="R74" s="122"/>
      <c r="S74" s="240"/>
      <c r="T74" s="122" t="n">
        <f aca="false">1000*P74/H74</f>
        <v>1.89232611727609</v>
      </c>
      <c r="U74" s="122"/>
      <c r="V74" s="194"/>
      <c r="W74" s="194" t="n">
        <f aca="false">100*T74/(T74+T94+T114)</f>
        <v>5.72057951549493</v>
      </c>
      <c r="X74" s="246"/>
      <c r="Y74" s="240"/>
      <c r="Z74" s="245"/>
      <c r="AA74" s="245"/>
      <c r="AB74" s="245"/>
      <c r="AC74" s="245"/>
      <c r="AD74" s="240"/>
    </row>
    <row r="75" customFormat="false" ht="12.8" hidden="false" customHeight="false" outlineLevel="0" collapsed="false">
      <c r="B75" s="46"/>
      <c r="C75" s="50" t="s">
        <v>21</v>
      </c>
      <c r="D75" s="64" t="n">
        <v>0</v>
      </c>
      <c r="E75" s="64" t="s">
        <v>114</v>
      </c>
      <c r="F75" s="64" t="s">
        <v>185</v>
      </c>
      <c r="G75" s="64" t="n">
        <v>0</v>
      </c>
      <c r="H75" s="122" t="n">
        <f aca="false">K75+K95+K115</f>
        <v>20.1232</v>
      </c>
      <c r="I75" s="241" t="n">
        <v>5.2878</v>
      </c>
      <c r="J75" s="241" t="n">
        <v>5.3957</v>
      </c>
      <c r="K75" s="242" t="n">
        <f aca="false">J75-I75</f>
        <v>0.1079</v>
      </c>
      <c r="L75" s="121" t="n">
        <v>36.25</v>
      </c>
      <c r="M75" s="121" t="n">
        <v>19.45</v>
      </c>
      <c r="N75" s="128"/>
      <c r="O75" s="128"/>
      <c r="P75" s="243" t="n">
        <f aca="false">K75*L75/100</f>
        <v>0.03911375</v>
      </c>
      <c r="Q75" s="122" t="n">
        <f aca="false">1000*K75/H75</f>
        <v>5.36197026317881</v>
      </c>
      <c r="R75" s="122"/>
      <c r="S75" s="240"/>
      <c r="T75" s="122" t="n">
        <f aca="false">1000*P75/H75</f>
        <v>1.94371422040232</v>
      </c>
      <c r="U75" s="122"/>
      <c r="V75" s="194"/>
      <c r="W75" s="194" t="n">
        <f aca="false">100*T75/(T75+T95+T115)</f>
        <v>5.77586167306166</v>
      </c>
      <c r="X75" s="122"/>
      <c r="Y75" s="240"/>
      <c r="Z75" s="245"/>
      <c r="AA75" s="245"/>
      <c r="AB75" s="245"/>
      <c r="AC75" s="245"/>
      <c r="AD75" s="240"/>
    </row>
    <row r="76" customFormat="false" ht="12.8" hidden="false" customHeight="false" outlineLevel="0" collapsed="false">
      <c r="B76" s="46"/>
      <c r="C76" s="176" t="s">
        <v>21</v>
      </c>
      <c r="D76" s="247" t="n">
        <v>1</v>
      </c>
      <c r="E76" s="247" t="s">
        <v>103</v>
      </c>
      <c r="F76" s="247" t="s">
        <v>185</v>
      </c>
      <c r="G76" s="247" t="n">
        <v>0</v>
      </c>
      <c r="H76" s="181" t="n">
        <f aca="false">K76+K96+K116</f>
        <v>20.0965</v>
      </c>
      <c r="I76" s="248" t="n">
        <v>5.3028</v>
      </c>
      <c r="J76" s="248" t="n">
        <v>5.4635</v>
      </c>
      <c r="K76" s="249" t="n">
        <f aca="false">J76-I76</f>
        <v>0.160699999999999</v>
      </c>
      <c r="L76" s="179" t="n">
        <v>31.45</v>
      </c>
      <c r="M76" s="179" t="n">
        <v>20.44</v>
      </c>
      <c r="N76" s="250" t="n">
        <f aca="false">AVERAGE(M76:M80)</f>
        <v>20.148</v>
      </c>
      <c r="O76" s="250" t="n">
        <f aca="false">STDEV(M76:M80)</f>
        <v>1.30183332266462</v>
      </c>
      <c r="P76" s="251" t="n">
        <f aca="false">K76*L76/100</f>
        <v>0.0505401499999998</v>
      </c>
      <c r="Q76" s="181" t="n">
        <f aca="false">1000*K76/H76</f>
        <v>7.99641728659216</v>
      </c>
      <c r="R76" s="181" t="n">
        <f aca="false">AVERAGE(Q76:Q80)</f>
        <v>4.67513307834895</v>
      </c>
      <c r="S76" s="252" t="n">
        <f aca="false">STDEV(Q76:Q80)</f>
        <v>1.91889261642122</v>
      </c>
      <c r="T76" s="181" t="n">
        <f aca="false">1000*P76/H76</f>
        <v>2.51487323663323</v>
      </c>
      <c r="U76" s="181" t="n">
        <f aca="false">AVERAGE(T76:T80)</f>
        <v>1.56717757438555</v>
      </c>
      <c r="V76" s="181" t="n">
        <f aca="false">STDEV(T76:T80)</f>
        <v>0.556713471922015</v>
      </c>
      <c r="W76" s="259" t="n">
        <f aca="false">100*T76/(T76+T96+T116)</f>
        <v>7.15927061952705</v>
      </c>
      <c r="X76" s="181" t="n">
        <f aca="false">AVERAGE(W76:W80)</f>
        <v>4.72736183611539</v>
      </c>
      <c r="Y76" s="252" t="n">
        <f aca="false">STDEV(W76:W80)</f>
        <v>1.46062998963464</v>
      </c>
      <c r="Z76" s="253"/>
      <c r="AA76" s="253"/>
      <c r="AB76" s="253"/>
      <c r="AC76" s="253"/>
      <c r="AD76" s="240"/>
    </row>
    <row r="77" customFormat="false" ht="12.8" hidden="false" customHeight="false" outlineLevel="0" collapsed="false">
      <c r="B77" s="46"/>
      <c r="C77" s="50" t="s">
        <v>21</v>
      </c>
      <c r="D77" s="64" t="n">
        <v>1</v>
      </c>
      <c r="E77" s="64" t="s">
        <v>105</v>
      </c>
      <c r="F77" s="64" t="s">
        <v>185</v>
      </c>
      <c r="G77" s="64" t="n">
        <v>0</v>
      </c>
      <c r="H77" s="122" t="n">
        <f aca="false">K77+K97+K117</f>
        <v>20.3992</v>
      </c>
      <c r="I77" s="241" t="n">
        <v>5.2669</v>
      </c>
      <c r="J77" s="241" t="n">
        <v>5.3289</v>
      </c>
      <c r="K77" s="242" t="n">
        <f aca="false">J77-I77</f>
        <v>0.0620000000000003</v>
      </c>
      <c r="L77" s="121" t="n">
        <v>34.21</v>
      </c>
      <c r="M77" s="121" t="n">
        <v>20.69</v>
      </c>
      <c r="N77" s="128"/>
      <c r="O77" s="128"/>
      <c r="P77" s="243" t="n">
        <f aca="false">K77*L77/100</f>
        <v>0.0212102000000001</v>
      </c>
      <c r="Q77" s="122" t="n">
        <f aca="false">1000*K77/H77</f>
        <v>3.0393348758775</v>
      </c>
      <c r="R77" s="122"/>
      <c r="S77" s="240"/>
      <c r="T77" s="122" t="n">
        <f aca="false">1000*P77/H77</f>
        <v>1.03975646103769</v>
      </c>
      <c r="U77" s="122"/>
      <c r="V77" s="194"/>
      <c r="W77" s="258" t="n">
        <f aca="false">100*T77/(T77+T97+T117)</f>
        <v>3.22025442897716</v>
      </c>
      <c r="X77" s="244" t="n">
        <f aca="false">QUARTILE(W76:W80,1)-(1.5*(QUARTILE(W76:W80,3)-QUARTILE(W76:W80,1)))</f>
        <v>3.74761596393063</v>
      </c>
      <c r="Y77" s="240"/>
      <c r="Z77" s="245"/>
      <c r="AA77" s="245"/>
      <c r="AB77" s="245"/>
      <c r="AC77" s="245"/>
      <c r="AD77" s="240"/>
    </row>
    <row r="78" customFormat="false" ht="12.8" hidden="false" customHeight="false" outlineLevel="0" collapsed="false">
      <c r="B78" s="46"/>
      <c r="C78" s="50" t="s">
        <v>21</v>
      </c>
      <c r="D78" s="64" t="n">
        <v>1</v>
      </c>
      <c r="E78" s="64" t="s">
        <v>108</v>
      </c>
      <c r="F78" s="64" t="s">
        <v>185</v>
      </c>
      <c r="G78" s="64" t="n">
        <v>0</v>
      </c>
      <c r="H78" s="122" t="n">
        <f aca="false">K78+K98+K118</f>
        <v>20.3589</v>
      </c>
      <c r="I78" s="241" t="n">
        <v>5.3288</v>
      </c>
      <c r="J78" s="241" t="n">
        <v>5.4151</v>
      </c>
      <c r="K78" s="242" t="n">
        <f aca="false">J78-I78</f>
        <v>0.0862999999999996</v>
      </c>
      <c r="L78" s="121" t="n">
        <v>34.24</v>
      </c>
      <c r="M78" s="121" t="n">
        <v>21.87</v>
      </c>
      <c r="N78" s="128"/>
      <c r="O78" s="128"/>
      <c r="P78" s="243" t="n">
        <f aca="false">K78*L78/100</f>
        <v>0.0295491199999999</v>
      </c>
      <c r="Q78" s="122" t="n">
        <f aca="false">1000*K78/H78</f>
        <v>4.23893235882094</v>
      </c>
      <c r="R78" s="122"/>
      <c r="S78" s="240"/>
      <c r="T78" s="122" t="n">
        <f aca="false">1000*P78/H78</f>
        <v>1.45141043966029</v>
      </c>
      <c r="U78" s="122"/>
      <c r="V78" s="194"/>
      <c r="W78" s="194" t="n">
        <f aca="false">100*T78/(T78+T98+T118)</f>
        <v>4.524912321279</v>
      </c>
      <c r="X78" s="244" t="n">
        <f aca="false">QUARTILE(W76:W80,3)+(1.5*(QUARTILE(W76:W80,3)-QUARTILE(W76:W80,1)))</f>
        <v>4.99129013568802</v>
      </c>
      <c r="Y78" s="240"/>
      <c r="Z78" s="245"/>
      <c r="AA78" s="245"/>
      <c r="AB78" s="245"/>
      <c r="AC78" s="245"/>
      <c r="AD78" s="240"/>
    </row>
    <row r="79" customFormat="false" ht="15.65" hidden="false" customHeight="true" outlineLevel="0" collapsed="false">
      <c r="B79" s="46"/>
      <c r="C79" s="50" t="s">
        <v>21</v>
      </c>
      <c r="D79" s="64" t="n">
        <v>1</v>
      </c>
      <c r="E79" s="64" t="s">
        <v>111</v>
      </c>
      <c r="F79" s="64" t="s">
        <v>185</v>
      </c>
      <c r="G79" s="64" t="n">
        <v>0</v>
      </c>
      <c r="H79" s="122" t="n">
        <f aca="false">K79+K99+K119</f>
        <v>20.6658</v>
      </c>
      <c r="I79" s="241" t="n">
        <v>5.3107</v>
      </c>
      <c r="J79" s="241" t="n">
        <v>5.3911</v>
      </c>
      <c r="K79" s="242" t="n">
        <f aca="false">J79-I79</f>
        <v>0.0804</v>
      </c>
      <c r="L79" s="121" t="n">
        <v>35.27</v>
      </c>
      <c r="M79" s="121" t="n">
        <v>18.58</v>
      </c>
      <c r="N79" s="128"/>
      <c r="O79" s="128"/>
      <c r="P79" s="243" t="n">
        <f aca="false">K79*L79/100</f>
        <v>0.02835708</v>
      </c>
      <c r="Q79" s="122" t="n">
        <f aca="false">1000*K79/H79</f>
        <v>3.89048573004675</v>
      </c>
      <c r="R79" s="122"/>
      <c r="S79" s="240"/>
      <c r="T79" s="122" t="n">
        <f aca="false">1000*P79/H79</f>
        <v>1.37217431698749</v>
      </c>
      <c r="U79" s="122"/>
      <c r="V79" s="194"/>
      <c r="W79" s="194" t="n">
        <f aca="false">100*T79/(T79+T99+T119)</f>
        <v>4.21399377833965</v>
      </c>
      <c r="X79" s="246"/>
      <c r="Y79" s="240"/>
      <c r="Z79" s="245"/>
      <c r="AA79" s="245"/>
      <c r="AB79" s="245"/>
      <c r="AC79" s="245"/>
      <c r="AD79" s="240"/>
    </row>
    <row r="80" customFormat="false" ht="12.8" hidden="false" customHeight="false" outlineLevel="0" collapsed="false">
      <c r="B80" s="46"/>
      <c r="C80" s="50" t="s">
        <v>21</v>
      </c>
      <c r="D80" s="64" t="n">
        <v>1</v>
      </c>
      <c r="E80" s="64" t="s">
        <v>114</v>
      </c>
      <c r="F80" s="64" t="s">
        <v>185</v>
      </c>
      <c r="G80" s="255" t="n">
        <v>0</v>
      </c>
      <c r="H80" s="194" t="n">
        <f aca="false">K80+K100+K120</f>
        <v>20.2589</v>
      </c>
      <c r="I80" s="241" t="n">
        <v>5.2429</v>
      </c>
      <c r="J80" s="241" t="n">
        <v>5.3282</v>
      </c>
      <c r="K80" s="242" t="n">
        <f aca="false">J80-I80</f>
        <v>0.0853000000000002</v>
      </c>
      <c r="L80" s="121" t="n">
        <v>34.62</v>
      </c>
      <c r="M80" s="121" t="n">
        <v>19.16</v>
      </c>
      <c r="N80" s="128"/>
      <c r="O80" s="128"/>
      <c r="P80" s="243" t="n">
        <f aca="false">K80*L80/100</f>
        <v>0.0295308600000001</v>
      </c>
      <c r="Q80" s="194" t="n">
        <f aca="false">1000*K80/H80</f>
        <v>4.21049514040743</v>
      </c>
      <c r="R80" s="194"/>
      <c r="S80" s="240"/>
      <c r="T80" s="194" t="n">
        <f aca="false">1000*P80/H80</f>
        <v>1.45767341760905</v>
      </c>
      <c r="U80" s="194"/>
      <c r="V80" s="194"/>
      <c r="W80" s="194" t="n">
        <f aca="false">100*T80/(T80+T100+T120)</f>
        <v>4.51837803245408</v>
      </c>
      <c r="X80" s="194"/>
      <c r="Y80" s="240"/>
      <c r="Z80" s="245"/>
      <c r="AA80" s="245"/>
      <c r="AB80" s="245"/>
      <c r="AC80" s="245"/>
      <c r="AD80" s="240"/>
    </row>
    <row r="81" customFormat="false" ht="12.8" hidden="false" customHeight="false" outlineLevel="0" collapsed="false">
      <c r="B81" s="46"/>
      <c r="C81" s="176" t="s">
        <v>21</v>
      </c>
      <c r="D81" s="247" t="n">
        <v>4</v>
      </c>
      <c r="E81" s="247" t="s">
        <v>103</v>
      </c>
      <c r="F81" s="247" t="s">
        <v>185</v>
      </c>
      <c r="G81" s="247" t="n">
        <v>0</v>
      </c>
      <c r="H81" s="181" t="n">
        <f aca="false">K81+K101+K121</f>
        <v>20.3551</v>
      </c>
      <c r="I81" s="248" t="n">
        <v>5.2704</v>
      </c>
      <c r="J81" s="248" t="n">
        <v>5.3299</v>
      </c>
      <c r="K81" s="249" t="n">
        <f aca="false">J81-I81</f>
        <v>0.0594999999999999</v>
      </c>
      <c r="L81" s="179" t="n">
        <v>32.97</v>
      </c>
      <c r="M81" s="179" t="n">
        <v>21.51</v>
      </c>
      <c r="N81" s="250" t="n">
        <f aca="false">AVERAGE(M81:M85)</f>
        <v>23.252</v>
      </c>
      <c r="O81" s="250" t="n">
        <f aca="false">STDEV(M81:M85)</f>
        <v>2.48425441531257</v>
      </c>
      <c r="P81" s="251" t="n">
        <f aca="false">K81*L81/100</f>
        <v>0.01961715</v>
      </c>
      <c r="Q81" s="181" t="n">
        <f aca="false">1000*K81/H81</f>
        <v>2.92310035322842</v>
      </c>
      <c r="R81" s="181" t="n">
        <f aca="false">AVERAGE(Q81:Q85)</f>
        <v>4.21633096896749</v>
      </c>
      <c r="S81" s="252" t="n">
        <f aca="false">STDEV(Q81:Q85)</f>
        <v>0.77854497561989</v>
      </c>
      <c r="T81" s="181" t="n">
        <f aca="false">1000*P81/H81</f>
        <v>0.963746186459411</v>
      </c>
      <c r="U81" s="181" t="n">
        <f aca="false">AVERAGE(T81:T85)</f>
        <v>1.38349414442221</v>
      </c>
      <c r="V81" s="181" t="n">
        <f aca="false">STDEV(T81:T85)</f>
        <v>0.245607448093</v>
      </c>
      <c r="W81" s="181" t="n">
        <f aca="false">100*T81/(T81+T101+T121)</f>
        <v>2.96556290782035</v>
      </c>
      <c r="X81" s="181" t="n">
        <f aca="false">AVERAGE(W81:W85)</f>
        <v>4.16713529000285</v>
      </c>
      <c r="Y81" s="252" t="n">
        <f aca="false">STDEV(W81:W85)</f>
        <v>0.731484123736022</v>
      </c>
      <c r="Z81" s="253"/>
      <c r="AA81" s="253"/>
      <c r="AB81" s="253"/>
      <c r="AC81" s="253"/>
      <c r="AD81" s="240"/>
    </row>
    <row r="82" customFormat="false" ht="12.8" hidden="false" customHeight="false" outlineLevel="0" collapsed="false">
      <c r="B82" s="46"/>
      <c r="C82" s="50" t="s">
        <v>21</v>
      </c>
      <c r="D82" s="64" t="n">
        <v>4</v>
      </c>
      <c r="E82" s="64" t="s">
        <v>105</v>
      </c>
      <c r="F82" s="64" t="s">
        <v>185</v>
      </c>
      <c r="G82" s="64" t="n">
        <v>0</v>
      </c>
      <c r="H82" s="122" t="n">
        <f aca="false">K82+K102+K122</f>
        <v>20.3881</v>
      </c>
      <c r="I82" s="241" t="n">
        <v>5.293</v>
      </c>
      <c r="J82" s="241" t="n">
        <v>5.3796</v>
      </c>
      <c r="K82" s="242" t="n">
        <f aca="false">J82-I82</f>
        <v>0.0865999999999998</v>
      </c>
      <c r="L82" s="121" t="n">
        <v>35.71</v>
      </c>
      <c r="M82" s="121" t="n">
        <v>27.56</v>
      </c>
      <c r="N82" s="128"/>
      <c r="O82" s="128"/>
      <c r="P82" s="243" t="n">
        <f aca="false">K82*L82/100</f>
        <v>0.0309248599999999</v>
      </c>
      <c r="Q82" s="122" t="n">
        <f aca="false">1000*K82/H82</f>
        <v>4.24757579176087</v>
      </c>
      <c r="R82" s="122"/>
      <c r="S82" s="240"/>
      <c r="T82" s="122" t="n">
        <f aca="false">1000*P82/H82</f>
        <v>1.51680931523781</v>
      </c>
      <c r="U82" s="122"/>
      <c r="V82" s="194"/>
      <c r="W82" s="194" t="n">
        <f aca="false">100*T82/(T82+T102+T122)</f>
        <v>4.62113499892991</v>
      </c>
      <c r="X82" s="244" t="n">
        <f aca="false">QUARTILE(W81:W85,1)-(1.5*(QUARTILE(W81:W85,3)-QUARTILE(W81:W85,1)))</f>
        <v>2.96436879017624</v>
      </c>
      <c r="Y82" s="240"/>
      <c r="Z82" s="245"/>
      <c r="AA82" s="245"/>
      <c r="AB82" s="245"/>
      <c r="AC82" s="245"/>
      <c r="AD82" s="240"/>
    </row>
    <row r="83" customFormat="false" ht="12.8" hidden="false" customHeight="false" outlineLevel="0" collapsed="false">
      <c r="B83" s="46"/>
      <c r="C83" s="50" t="s">
        <v>21</v>
      </c>
      <c r="D83" s="64" t="n">
        <v>4</v>
      </c>
      <c r="E83" s="64" t="s">
        <v>108</v>
      </c>
      <c r="F83" s="64" t="s">
        <v>185</v>
      </c>
      <c r="G83" s="64" t="n">
        <v>0</v>
      </c>
      <c r="H83" s="122" t="n">
        <f aca="false">K83+K103+K123</f>
        <v>20.3455</v>
      </c>
      <c r="I83" s="241" t="n">
        <v>5.3324</v>
      </c>
      <c r="J83" s="241" t="n">
        <v>5.4193</v>
      </c>
      <c r="K83" s="242" t="n">
        <f aca="false">J83-I83</f>
        <v>0.0869</v>
      </c>
      <c r="L83" s="121" t="n">
        <v>31.95</v>
      </c>
      <c r="M83" s="121" t="n">
        <v>23.07</v>
      </c>
      <c r="N83" s="128"/>
      <c r="O83" s="128"/>
      <c r="P83" s="243" t="n">
        <f aca="false">K83*L83/100</f>
        <v>0.02776455</v>
      </c>
      <c r="Q83" s="122" t="n">
        <f aca="false">1000*K83/H83</f>
        <v>4.27121476493574</v>
      </c>
      <c r="R83" s="122"/>
      <c r="S83" s="240"/>
      <c r="T83" s="122" t="n">
        <f aca="false">1000*P83/H83</f>
        <v>1.36465311739697</v>
      </c>
      <c r="U83" s="122"/>
      <c r="V83" s="194"/>
      <c r="W83" s="194" t="n">
        <f aca="false">100*T83/(T83+T103+T123)</f>
        <v>3.96615130338929</v>
      </c>
      <c r="X83" s="244" t="n">
        <f aca="false">QUARTILE(W81:W85,3)+(1.5*(QUARTILE(W81:W85,3)-QUARTILE(W81:W85,1)))</f>
        <v>5.63578882541105</v>
      </c>
      <c r="Y83" s="240"/>
      <c r="Z83" s="245"/>
      <c r="AA83" s="245"/>
      <c r="AB83" s="245"/>
      <c r="AC83" s="245"/>
      <c r="AD83" s="240"/>
    </row>
    <row r="84" customFormat="false" ht="12.8" hidden="false" customHeight="false" outlineLevel="0" collapsed="false">
      <c r="B84" s="46"/>
      <c r="C84" s="50" t="s">
        <v>21</v>
      </c>
      <c r="D84" s="64" t="n">
        <v>4</v>
      </c>
      <c r="E84" s="64" t="s">
        <v>111</v>
      </c>
      <c r="F84" s="64" t="s">
        <v>185</v>
      </c>
      <c r="G84" s="64" t="n">
        <v>0</v>
      </c>
      <c r="H84" s="122" t="n">
        <f aca="false">K84+K104+K124</f>
        <v>20.2075</v>
      </c>
      <c r="I84" s="241" t="n">
        <v>5.2715</v>
      </c>
      <c r="J84" s="241" t="n">
        <v>5.3669</v>
      </c>
      <c r="K84" s="242" t="n">
        <f aca="false">J84-I84</f>
        <v>0.0954000000000006</v>
      </c>
      <c r="L84" s="121" t="n">
        <v>32.83</v>
      </c>
      <c r="M84" s="121" t="n">
        <v>22.39</v>
      </c>
      <c r="N84" s="128"/>
      <c r="O84" s="128"/>
      <c r="P84" s="243" t="n">
        <f aca="false">K84*L84/100</f>
        <v>0.0313198200000002</v>
      </c>
      <c r="Q84" s="122" t="n">
        <f aca="false">1000*K84/H84</f>
        <v>4.72101942348141</v>
      </c>
      <c r="R84" s="122"/>
      <c r="S84" s="240"/>
      <c r="T84" s="122" t="n">
        <f aca="false">1000*P84/H84</f>
        <v>1.54991067672895</v>
      </c>
      <c r="U84" s="122"/>
      <c r="V84" s="194"/>
      <c r="W84" s="194" t="n">
        <f aca="false">100*T84/(T84+T104+T124)</f>
        <v>4.63400631219799</v>
      </c>
      <c r="X84" s="246"/>
      <c r="Y84" s="240"/>
      <c r="Z84" s="245"/>
      <c r="AA84" s="245"/>
      <c r="AB84" s="245"/>
      <c r="AC84" s="245"/>
      <c r="AD84" s="240"/>
    </row>
    <row r="85" customFormat="false" ht="12.8" hidden="false" customHeight="false" outlineLevel="0" collapsed="false">
      <c r="B85" s="46"/>
      <c r="C85" s="50" t="s">
        <v>21</v>
      </c>
      <c r="D85" s="64" t="n">
        <v>4</v>
      </c>
      <c r="E85" s="64" t="s">
        <v>114</v>
      </c>
      <c r="F85" s="64" t="s">
        <v>185</v>
      </c>
      <c r="G85" s="255" t="n">
        <v>0</v>
      </c>
      <c r="H85" s="194" t="n">
        <f aca="false">K85+K105+K125</f>
        <v>20.2694</v>
      </c>
      <c r="I85" s="241" t="n">
        <v>5.2472</v>
      </c>
      <c r="J85" s="241" t="n">
        <v>5.3469</v>
      </c>
      <c r="K85" s="242" t="n">
        <f aca="false">J85-I85</f>
        <v>0.0996999999999995</v>
      </c>
      <c r="L85" s="121" t="n">
        <v>30.95</v>
      </c>
      <c r="M85" s="121" t="n">
        <v>21.73</v>
      </c>
      <c r="N85" s="128"/>
      <c r="O85" s="128"/>
      <c r="P85" s="243" t="n">
        <f aca="false">K85*L85/100</f>
        <v>0.0308571499999998</v>
      </c>
      <c r="Q85" s="194" t="n">
        <f aca="false">1000*K85/H85</f>
        <v>4.918744511431</v>
      </c>
      <c r="R85" s="194"/>
      <c r="S85" s="240"/>
      <c r="T85" s="194" t="n">
        <f aca="false">1000*P85/H85</f>
        <v>1.52235142628789</v>
      </c>
      <c r="U85" s="194"/>
      <c r="V85" s="194"/>
      <c r="W85" s="194" t="n">
        <f aca="false">100*T85/(T85+T105+T125)</f>
        <v>4.64882092767667</v>
      </c>
      <c r="X85" s="194"/>
      <c r="Y85" s="240"/>
      <c r="Z85" s="245"/>
      <c r="AA85" s="245"/>
      <c r="AB85" s="245"/>
      <c r="AC85" s="245"/>
      <c r="AD85" s="240"/>
    </row>
    <row r="86" customFormat="false" ht="12.8" hidden="false" customHeight="false" outlineLevel="0" collapsed="false">
      <c r="B86" s="46"/>
      <c r="C86" s="96" t="s">
        <v>21</v>
      </c>
      <c r="D86" s="234" t="s">
        <v>158</v>
      </c>
      <c r="E86" s="59" t="s">
        <v>103</v>
      </c>
      <c r="F86" s="59" t="s">
        <v>185</v>
      </c>
      <c r="G86" s="59" t="n">
        <v>50</v>
      </c>
      <c r="H86" s="212" t="n">
        <f aca="false">H66</f>
        <v>20.2892</v>
      </c>
      <c r="I86" s="235" t="n">
        <v>9.0439</v>
      </c>
      <c r="J86" s="235" t="n">
        <v>9.1794</v>
      </c>
      <c r="K86" s="236" t="n">
        <f aca="false">J86-I86</f>
        <v>0.135499999999999</v>
      </c>
      <c r="L86" s="237" t="n">
        <v>39.46</v>
      </c>
      <c r="M86" s="237" t="n">
        <v>17.97</v>
      </c>
      <c r="N86" s="238" t="n">
        <f aca="false">AVERAGE(M86:M90)</f>
        <v>15.566</v>
      </c>
      <c r="O86" s="238" t="n">
        <f aca="false">STDEV(M86:M90)</f>
        <v>1.39525266529041</v>
      </c>
      <c r="P86" s="239" t="n">
        <f aca="false">K86*L86/100</f>
        <v>0.0534682999999995</v>
      </c>
      <c r="Q86" s="212" t="n">
        <f aca="false">1000*K86/H86</f>
        <v>6.67842990359396</v>
      </c>
      <c r="R86" s="212" t="n">
        <f aca="false">AVERAGE(Q86:Q90)</f>
        <v>6.70672607495493</v>
      </c>
      <c r="S86" s="215" t="n">
        <f aca="false">STDEV(Q86:Q90)</f>
        <v>0.724787106334463</v>
      </c>
      <c r="T86" s="212" t="n">
        <f aca="false">1000*P86/H86</f>
        <v>2.63530843995818</v>
      </c>
      <c r="U86" s="212" t="n">
        <f aca="false">AVERAGE(T86:T90)</f>
        <v>2.37433859683131</v>
      </c>
      <c r="V86" s="212" t="n">
        <f aca="false">STDEV(T86:T90)</f>
        <v>0.306935015192376</v>
      </c>
      <c r="W86" s="212" t="n">
        <f aca="false">100*T86/(T66+T86+T106)</f>
        <v>7.51648421474064</v>
      </c>
      <c r="X86" s="212" t="n">
        <f aca="false">AVERAGE(W86:W90)</f>
        <v>6.91637609997742</v>
      </c>
      <c r="Y86" s="215" t="n">
        <f aca="false">STDEV(W86:W90)</f>
        <v>0.876407962457028</v>
      </c>
      <c r="Z86" s="213"/>
      <c r="AA86" s="213" t="n">
        <f aca="false">TTEST(W86:W90,W91:W95,2,2)</f>
        <v>0.0555554923091682</v>
      </c>
      <c r="AB86" s="213" t="n">
        <f aca="false">TTEST(W86:W90,W96:W100,2,2)</f>
        <v>0.271571817698298</v>
      </c>
      <c r="AC86" s="213" t="n">
        <f aca="false">TTEST(W86:W90,W101:W105,2,2)</f>
        <v>0.813055438264598</v>
      </c>
      <c r="AD86" s="240"/>
    </row>
    <row r="87" customFormat="false" ht="12.8" hidden="false" customHeight="false" outlineLevel="0" collapsed="false">
      <c r="B87" s="46"/>
      <c r="C87" s="50" t="s">
        <v>21</v>
      </c>
      <c r="D87" s="64" t="s">
        <v>158</v>
      </c>
      <c r="E87" s="64" t="s">
        <v>105</v>
      </c>
      <c r="F87" s="64" t="s">
        <v>185</v>
      </c>
      <c r="G87" s="64" t="n">
        <v>50</v>
      </c>
      <c r="H87" s="122" t="n">
        <f aca="false">H67</f>
        <v>19.8799</v>
      </c>
      <c r="I87" s="241" t="n">
        <v>9.0683</v>
      </c>
      <c r="J87" s="241" t="n">
        <v>9.1944</v>
      </c>
      <c r="K87" s="242" t="n">
        <f aca="false">J87-I87</f>
        <v>0.126099999999999</v>
      </c>
      <c r="L87" s="121" t="n">
        <v>34.14</v>
      </c>
      <c r="M87" s="121" t="n">
        <v>15.59</v>
      </c>
      <c r="N87" s="128"/>
      <c r="O87" s="128"/>
      <c r="P87" s="243" t="n">
        <f aca="false">K87*L87/100</f>
        <v>0.0430505399999997</v>
      </c>
      <c r="Q87" s="122" t="n">
        <f aca="false">1000*K87/H87</f>
        <v>6.34309025699321</v>
      </c>
      <c r="R87" s="122"/>
      <c r="S87" s="240"/>
      <c r="T87" s="122" t="n">
        <f aca="false">1000*P87/H87</f>
        <v>2.16553101373748</v>
      </c>
      <c r="U87" s="122"/>
      <c r="V87" s="194"/>
      <c r="W87" s="194" t="n">
        <f aca="false">100*T87/(T67+T87+T107)</f>
        <v>6.61525243256142</v>
      </c>
      <c r="X87" s="244" t="n">
        <f aca="false">QUARTILE(W86:W90,1)-(1.5*(QUARTILE(W86:W90,3)-QUARTILE(W86:W90,1)))</f>
        <v>5.26340475929261</v>
      </c>
      <c r="Y87" s="240"/>
      <c r="Z87" s="245"/>
      <c r="AA87" s="245"/>
      <c r="AB87" s="245"/>
      <c r="AC87" s="245"/>
      <c r="AD87" s="240"/>
    </row>
    <row r="88" customFormat="false" ht="12.8" hidden="false" customHeight="false" outlineLevel="0" collapsed="false">
      <c r="B88" s="46"/>
      <c r="C88" s="50" t="s">
        <v>21</v>
      </c>
      <c r="D88" s="64" t="s">
        <v>158</v>
      </c>
      <c r="E88" s="64" t="s">
        <v>108</v>
      </c>
      <c r="F88" s="64" t="s">
        <v>185</v>
      </c>
      <c r="G88" s="64" t="n">
        <v>50</v>
      </c>
      <c r="H88" s="122" t="n">
        <f aca="false">H68</f>
        <v>20.1166</v>
      </c>
      <c r="I88" s="241" t="n">
        <v>8.8507</v>
      </c>
      <c r="J88" s="241" t="n">
        <v>8.9689</v>
      </c>
      <c r="K88" s="242" t="n">
        <f aca="false">J88-I88</f>
        <v>0.1182</v>
      </c>
      <c r="L88" s="121" t="n">
        <v>33.65</v>
      </c>
      <c r="M88" s="121" t="n">
        <v>14.61</v>
      </c>
      <c r="N88" s="128"/>
      <c r="O88" s="128"/>
      <c r="P88" s="243" t="n">
        <f aca="false">K88*L88/100</f>
        <v>0.0397743</v>
      </c>
      <c r="Q88" s="122" t="n">
        <f aca="false">1000*K88/H88</f>
        <v>5.87574441008917</v>
      </c>
      <c r="R88" s="122"/>
      <c r="S88" s="240"/>
      <c r="T88" s="122" t="n">
        <f aca="false">1000*P88/H88</f>
        <v>1.97718799399501</v>
      </c>
      <c r="U88" s="122"/>
      <c r="V88" s="194"/>
      <c r="W88" s="194" t="n">
        <f aca="false">100*T88/(T68+T88+T108)</f>
        <v>5.69062480711983</v>
      </c>
      <c r="X88" s="244" t="n">
        <f aca="false">QUARTILE(W86:W90,3)+(1.5*(QUARTILE(W86:W90,3)-QUARTILE(W86:W90,1)))</f>
        <v>8.86833188800945</v>
      </c>
      <c r="Y88" s="240"/>
      <c r="Z88" s="245"/>
      <c r="AA88" s="245"/>
      <c r="AB88" s="245"/>
      <c r="AC88" s="245"/>
      <c r="AD88" s="240"/>
    </row>
    <row r="89" customFormat="false" ht="12.8" hidden="false" customHeight="false" outlineLevel="0" collapsed="false">
      <c r="B89" s="46"/>
      <c r="C89" s="50" t="s">
        <v>21</v>
      </c>
      <c r="D89" s="64" t="s">
        <v>158</v>
      </c>
      <c r="E89" s="64" t="s">
        <v>111</v>
      </c>
      <c r="F89" s="64" t="s">
        <v>185</v>
      </c>
      <c r="G89" s="64" t="n">
        <v>50</v>
      </c>
      <c r="H89" s="122" t="n">
        <f aca="false">H69</f>
        <v>20.1957</v>
      </c>
      <c r="I89" s="241" t="n">
        <v>9.0048</v>
      </c>
      <c r="J89" s="241" t="n">
        <v>9.1422</v>
      </c>
      <c r="K89" s="242" t="n">
        <f aca="false">J89-I89</f>
        <v>0.137400000000001</v>
      </c>
      <c r="L89" s="121" t="n">
        <v>35.16</v>
      </c>
      <c r="M89" s="121" t="n">
        <v>14.76</v>
      </c>
      <c r="N89" s="128"/>
      <c r="O89" s="128"/>
      <c r="P89" s="243" t="n">
        <f aca="false">K89*L89/100</f>
        <v>0.0483098400000005</v>
      </c>
      <c r="Q89" s="122" t="n">
        <f aca="false">1000*K89/H89</f>
        <v>6.80342845259146</v>
      </c>
      <c r="R89" s="122"/>
      <c r="S89" s="240"/>
      <c r="T89" s="122" t="n">
        <f aca="false">1000*P89/H89</f>
        <v>2.39208544393116</v>
      </c>
      <c r="U89" s="122"/>
      <c r="V89" s="194"/>
      <c r="W89" s="194" t="n">
        <f aca="false">100*T89/(T69+T89+T109)</f>
        <v>6.79254413242043</v>
      </c>
      <c r="X89" s="246"/>
      <c r="Y89" s="240"/>
      <c r="Z89" s="245"/>
      <c r="AA89" s="245"/>
      <c r="AB89" s="245"/>
      <c r="AC89" s="245"/>
      <c r="AD89" s="240"/>
    </row>
    <row r="90" customFormat="false" ht="12.8" hidden="false" customHeight="false" outlineLevel="0" collapsed="false">
      <c r="B90" s="46"/>
      <c r="C90" s="50" t="s">
        <v>21</v>
      </c>
      <c r="D90" s="64" t="s">
        <v>158</v>
      </c>
      <c r="E90" s="64" t="s">
        <v>114</v>
      </c>
      <c r="F90" s="64" t="s">
        <v>185</v>
      </c>
      <c r="G90" s="64" t="n">
        <v>50</v>
      </c>
      <c r="H90" s="122" t="n">
        <f aca="false">H70</f>
        <v>19.9925</v>
      </c>
      <c r="I90" s="241" t="n">
        <v>8.9104</v>
      </c>
      <c r="J90" s="241" t="n">
        <v>9.067</v>
      </c>
      <c r="K90" s="242" t="n">
        <f aca="false">J90-I90</f>
        <v>0.156600000000001</v>
      </c>
      <c r="L90" s="121" t="n">
        <v>34.49</v>
      </c>
      <c r="M90" s="121" t="n">
        <v>14.9</v>
      </c>
      <c r="N90" s="128"/>
      <c r="O90" s="128"/>
      <c r="P90" s="243" t="n">
        <f aca="false">K90*L90/100</f>
        <v>0.0540113400000003</v>
      </c>
      <c r="Q90" s="122" t="n">
        <f aca="false">1000*K90/H90</f>
        <v>7.83293735150686</v>
      </c>
      <c r="R90" s="122"/>
      <c r="S90" s="240"/>
      <c r="T90" s="122" t="n">
        <f aca="false">1000*P90/H90</f>
        <v>2.70158009253472</v>
      </c>
      <c r="U90" s="122"/>
      <c r="V90" s="194"/>
      <c r="W90" s="194" t="n">
        <f aca="false">100*T90/(T70+T90+T110)</f>
        <v>7.96697491304476</v>
      </c>
      <c r="X90" s="122"/>
      <c r="Y90" s="240"/>
      <c r="Z90" s="245"/>
      <c r="AA90" s="245"/>
      <c r="AB90" s="245"/>
      <c r="AC90" s="245"/>
      <c r="AD90" s="240"/>
    </row>
    <row r="91" customFormat="false" ht="12.8" hidden="false" customHeight="false" outlineLevel="0" collapsed="false">
      <c r="B91" s="46"/>
      <c r="C91" s="176" t="s">
        <v>21</v>
      </c>
      <c r="D91" s="247" t="n">
        <v>0</v>
      </c>
      <c r="E91" s="247" t="s">
        <v>103</v>
      </c>
      <c r="F91" s="247" t="s">
        <v>185</v>
      </c>
      <c r="G91" s="247" t="n">
        <v>50</v>
      </c>
      <c r="H91" s="181" t="n">
        <f aca="false">H71</f>
        <v>19.7492</v>
      </c>
      <c r="I91" s="248" t="n">
        <v>5.3117</v>
      </c>
      <c r="J91" s="248" t="n">
        <v>5.4405</v>
      </c>
      <c r="K91" s="249" t="n">
        <f aca="false">J91-I91</f>
        <v>0.1288</v>
      </c>
      <c r="L91" s="179" t="n">
        <v>38.17</v>
      </c>
      <c r="M91" s="179" t="n">
        <v>15.56</v>
      </c>
      <c r="N91" s="250" t="n">
        <f aca="false">AVERAGE(M91:M95)</f>
        <v>15.866</v>
      </c>
      <c r="O91" s="250" t="n">
        <f aca="false">STDEV(M91:M95)</f>
        <v>0.388625784013361</v>
      </c>
      <c r="P91" s="251" t="n">
        <f aca="false">K91*L91/100</f>
        <v>0.04916296</v>
      </c>
      <c r="Q91" s="181" t="n">
        <f aca="false">1000*K91/H91</f>
        <v>6.5217831608369</v>
      </c>
      <c r="R91" s="181" t="n">
        <f aca="false">AVERAGE(Q91:Q95)</f>
        <v>6.90045496720821</v>
      </c>
      <c r="S91" s="252" t="n">
        <f aca="false">STDEV(Q91:Q95)</f>
        <v>0.304020143598117</v>
      </c>
      <c r="T91" s="181" t="n">
        <f aca="false">1000*P91/H91</f>
        <v>2.48936463249144</v>
      </c>
      <c r="U91" s="181" t="n">
        <f aca="false">AVERAGE(T91:T95)</f>
        <v>2.69208831501079</v>
      </c>
      <c r="V91" s="181" t="n">
        <f aca="false">STDEV(T91:T95)</f>
        <v>0.156666088318769</v>
      </c>
      <c r="W91" s="181" t="n">
        <f aca="false">100*T91/(T71+T91+T111)</f>
        <v>6.91228101156632</v>
      </c>
      <c r="X91" s="181" t="n">
        <f aca="false">AVERAGE(W91:W95)</f>
        <v>8.11998993002989</v>
      </c>
      <c r="Y91" s="252" t="n">
        <f aca="false">STDEV(W91:W95)</f>
        <v>0.823074579668333</v>
      </c>
      <c r="Z91" s="253"/>
      <c r="AA91" s="253"/>
      <c r="AB91" s="253"/>
      <c r="AC91" s="253"/>
      <c r="AD91" s="240"/>
    </row>
    <row r="92" customFormat="false" ht="12.8" hidden="false" customHeight="false" outlineLevel="0" collapsed="false">
      <c r="B92" s="46"/>
      <c r="C92" s="50" t="s">
        <v>21</v>
      </c>
      <c r="D92" s="64" t="n">
        <v>0</v>
      </c>
      <c r="E92" s="64" t="s">
        <v>105</v>
      </c>
      <c r="F92" s="64" t="s">
        <v>185</v>
      </c>
      <c r="G92" s="64" t="n">
        <v>50</v>
      </c>
      <c r="H92" s="122" t="n">
        <f aca="false">H72</f>
        <v>19.8986</v>
      </c>
      <c r="I92" s="241" t="n">
        <v>5.26</v>
      </c>
      <c r="J92" s="241" t="n">
        <v>5.3988</v>
      </c>
      <c r="K92" s="242" t="n">
        <f aca="false">J92-I92</f>
        <v>0.1388</v>
      </c>
      <c r="L92" s="121" t="n">
        <v>40.06</v>
      </c>
      <c r="M92" s="121" t="n">
        <v>16.33</v>
      </c>
      <c r="N92" s="128"/>
      <c r="O92" s="128"/>
      <c r="P92" s="243" t="n">
        <f aca="false">K92*L92/100</f>
        <v>0.0556032799999999</v>
      </c>
      <c r="Q92" s="122" t="n">
        <f aca="false">1000*K92/H92</f>
        <v>6.97536510106238</v>
      </c>
      <c r="R92" s="122"/>
      <c r="S92" s="240"/>
      <c r="T92" s="122" t="n">
        <f aca="false">1000*P92/H92</f>
        <v>2.79433125948559</v>
      </c>
      <c r="U92" s="122"/>
      <c r="V92" s="194"/>
      <c r="W92" s="194" t="n">
        <f aca="false">100*T92/(T72+T92+T112)</f>
        <v>8.80896411948261</v>
      </c>
      <c r="X92" s="244" t="n">
        <f aca="false">QUARTILE(W91:W95,1)-(1.5*(QUARTILE(W91:W95,3)-QUARTILE(W91:W95,1)))</f>
        <v>6.0698289887703</v>
      </c>
      <c r="Y92" s="240"/>
      <c r="Z92" s="245"/>
      <c r="AA92" s="245"/>
      <c r="AB92" s="245"/>
      <c r="AC92" s="245"/>
      <c r="AD92" s="240"/>
    </row>
    <row r="93" customFormat="false" ht="12.8" hidden="false" customHeight="false" outlineLevel="0" collapsed="false">
      <c r="B93" s="46"/>
      <c r="C93" s="50" t="s">
        <v>21</v>
      </c>
      <c r="D93" s="64" t="n">
        <v>0</v>
      </c>
      <c r="E93" s="64" t="s">
        <v>108</v>
      </c>
      <c r="F93" s="64" t="s">
        <v>185</v>
      </c>
      <c r="G93" s="64" t="n">
        <v>50</v>
      </c>
      <c r="H93" s="122" t="n">
        <f aca="false">H73</f>
        <v>20.0658</v>
      </c>
      <c r="I93" s="241" t="n">
        <v>5.2908</v>
      </c>
      <c r="J93" s="241" t="n">
        <v>5.4361</v>
      </c>
      <c r="K93" s="242" t="n">
        <f aca="false">J93-I93</f>
        <v>0.1453</v>
      </c>
      <c r="L93" s="121" t="n">
        <v>38.17</v>
      </c>
      <c r="M93" s="121" t="n">
        <v>15.49</v>
      </c>
      <c r="N93" s="128"/>
      <c r="O93" s="128"/>
      <c r="P93" s="243" t="n">
        <f aca="false">K93*L93/100</f>
        <v>0.0554610099999999</v>
      </c>
      <c r="Q93" s="122" t="n">
        <f aca="false">1000*K93/H93</f>
        <v>7.24117652921886</v>
      </c>
      <c r="R93" s="122"/>
      <c r="S93" s="240"/>
      <c r="T93" s="122" t="n">
        <f aca="false">1000*P93/H93</f>
        <v>2.76395708120284</v>
      </c>
      <c r="U93" s="122"/>
      <c r="V93" s="194"/>
      <c r="W93" s="194" t="n">
        <f aca="false">100*T93/(T73+T93+T113)</f>
        <v>8.64757709546458</v>
      </c>
      <c r="X93" s="244" t="n">
        <f aca="false">QUARTILE(W91:W95,3)+(1.5*(QUARTILE(W91:W95,3)-QUARTILE(W91:W95,1)))</f>
        <v>10.1942259594812</v>
      </c>
      <c r="Y93" s="240"/>
      <c r="Z93" s="245"/>
      <c r="AA93" s="245"/>
      <c r="AB93" s="245"/>
      <c r="AC93" s="245"/>
      <c r="AD93" s="240"/>
    </row>
    <row r="94" customFormat="false" ht="12.8" hidden="false" customHeight="false" outlineLevel="0" collapsed="false">
      <c r="B94" s="46"/>
      <c r="C94" s="50" t="s">
        <v>21</v>
      </c>
      <c r="D94" s="64" t="n">
        <v>0</v>
      </c>
      <c r="E94" s="64" t="s">
        <v>111</v>
      </c>
      <c r="F94" s="64" t="s">
        <v>185</v>
      </c>
      <c r="G94" s="64" t="n">
        <v>50</v>
      </c>
      <c r="H94" s="122" t="n">
        <f aca="false">H74</f>
        <v>19.7892</v>
      </c>
      <c r="I94" s="241" t="n">
        <v>5.2751</v>
      </c>
      <c r="J94" s="241" t="n">
        <v>5.4158</v>
      </c>
      <c r="K94" s="242" t="n">
        <f aca="false">J94-I94</f>
        <v>0.1407</v>
      </c>
      <c r="L94" s="121" t="n">
        <v>40.08</v>
      </c>
      <c r="M94" s="121" t="n">
        <v>16.23</v>
      </c>
      <c r="N94" s="128"/>
      <c r="O94" s="128"/>
      <c r="P94" s="243" t="n">
        <f aca="false">K94*L94/100</f>
        <v>0.0563925599999999</v>
      </c>
      <c r="Q94" s="122" t="n">
        <f aca="false">1000*K94/H94</f>
        <v>7.10993875447213</v>
      </c>
      <c r="R94" s="122"/>
      <c r="S94" s="240"/>
      <c r="T94" s="122" t="n">
        <f aca="false">1000*P94/H94</f>
        <v>2.84966345279243</v>
      </c>
      <c r="U94" s="122"/>
      <c r="V94" s="194"/>
      <c r="W94" s="194" t="n">
        <f aca="false">100*T94/(T74+T94+T114)</f>
        <v>8.61464957084906</v>
      </c>
      <c r="X94" s="246"/>
      <c r="Y94" s="240"/>
      <c r="Z94" s="245"/>
      <c r="AA94" s="245"/>
      <c r="AB94" s="245"/>
      <c r="AC94" s="245"/>
      <c r="AD94" s="240"/>
    </row>
    <row r="95" customFormat="false" ht="12.8" hidden="false" customHeight="false" outlineLevel="0" collapsed="false">
      <c r="B95" s="46"/>
      <c r="C95" s="50" t="s">
        <v>21</v>
      </c>
      <c r="D95" s="64" t="n">
        <v>0</v>
      </c>
      <c r="E95" s="64" t="s">
        <v>114</v>
      </c>
      <c r="F95" s="64" t="s">
        <v>185</v>
      </c>
      <c r="G95" s="64" t="n">
        <v>50</v>
      </c>
      <c r="H95" s="122" t="n">
        <f aca="false">H75</f>
        <v>20.1232</v>
      </c>
      <c r="I95" s="241" t="n">
        <v>5.2716</v>
      </c>
      <c r="J95" s="241" t="n">
        <v>5.4055</v>
      </c>
      <c r="K95" s="242" t="n">
        <f aca="false">J95-I95</f>
        <v>0.1339</v>
      </c>
      <c r="L95" s="121" t="n">
        <v>38.52</v>
      </c>
      <c r="M95" s="121" t="n">
        <v>15.72</v>
      </c>
      <c r="N95" s="128"/>
      <c r="O95" s="128"/>
      <c r="P95" s="243" t="n">
        <f aca="false">K95*L95/100</f>
        <v>0.0515782799999999</v>
      </c>
      <c r="Q95" s="122" t="n">
        <f aca="false">1000*K95/H95</f>
        <v>6.65401129045081</v>
      </c>
      <c r="R95" s="122"/>
      <c r="S95" s="240"/>
      <c r="T95" s="122" t="n">
        <f aca="false">1000*P95/H95</f>
        <v>2.56312514908165</v>
      </c>
      <c r="U95" s="122"/>
      <c r="V95" s="194"/>
      <c r="W95" s="194" t="n">
        <f aca="false">100*T95/(T75+T95+T115)</f>
        <v>7.61647785278687</v>
      </c>
      <c r="X95" s="122"/>
      <c r="Y95" s="240"/>
      <c r="Z95" s="245"/>
      <c r="AA95" s="245"/>
      <c r="AB95" s="245"/>
      <c r="AC95" s="245"/>
      <c r="AD95" s="240"/>
    </row>
    <row r="96" customFormat="false" ht="12.8" hidden="false" customHeight="false" outlineLevel="0" collapsed="false">
      <c r="B96" s="46"/>
      <c r="C96" s="176" t="s">
        <v>21</v>
      </c>
      <c r="D96" s="247" t="n">
        <v>1</v>
      </c>
      <c r="E96" s="247" t="s">
        <v>103</v>
      </c>
      <c r="F96" s="247" t="s">
        <v>185</v>
      </c>
      <c r="G96" s="247" t="n">
        <v>50</v>
      </c>
      <c r="H96" s="181" t="n">
        <f aca="false">H76</f>
        <v>20.0965</v>
      </c>
      <c r="I96" s="248" t="n">
        <v>5.2612</v>
      </c>
      <c r="J96" s="248" t="n">
        <v>5.4152</v>
      </c>
      <c r="K96" s="249" t="n">
        <f aca="false">J96-I96</f>
        <v>0.154</v>
      </c>
      <c r="L96" s="179" t="n">
        <v>38.94</v>
      </c>
      <c r="M96" s="179" t="n">
        <v>16.75</v>
      </c>
      <c r="N96" s="250" t="n">
        <f aca="false">AVERAGE(M96:M100)</f>
        <v>15.27</v>
      </c>
      <c r="O96" s="250" t="n">
        <f aca="false">STDEV(M96:M100)</f>
        <v>0.943901477909638</v>
      </c>
      <c r="P96" s="251" t="n">
        <f aca="false">K96*L96/100</f>
        <v>0.0599676</v>
      </c>
      <c r="Q96" s="181" t="n">
        <f aca="false">1000*K96/H96</f>
        <v>7.66302590003234</v>
      </c>
      <c r="R96" s="181" t="n">
        <f aca="false">AVERAGE(Q96:Q100)</f>
        <v>6.65196377237391</v>
      </c>
      <c r="S96" s="252" t="n">
        <f aca="false">STDEV(Q96:Q100)</f>
        <v>0.674302591903072</v>
      </c>
      <c r="T96" s="181" t="n">
        <f aca="false">1000*P96/H96</f>
        <v>2.98398228547259</v>
      </c>
      <c r="U96" s="181" t="n">
        <f aca="false">AVERAGE(T96:T100)</f>
        <v>2.46700680471684</v>
      </c>
      <c r="V96" s="181" t="n">
        <f aca="false">STDEV(T96:T100)</f>
        <v>0.307785395950416</v>
      </c>
      <c r="W96" s="181" t="n">
        <f aca="false">100*T96/(T76+T96+T116)</f>
        <v>8.49471710716236</v>
      </c>
      <c r="X96" s="181" t="n">
        <f aca="false">AVERAGE(W96:W100)</f>
        <v>7.48885517961684</v>
      </c>
      <c r="Y96" s="252" t="n">
        <f aca="false">STDEV(W96:W100)</f>
        <v>0.638004824024825</v>
      </c>
      <c r="Z96" s="253"/>
      <c r="AA96" s="253"/>
      <c r="AB96" s="253"/>
      <c r="AC96" s="253"/>
      <c r="AD96" s="240"/>
    </row>
    <row r="97" customFormat="false" ht="12.8" hidden="false" customHeight="false" outlineLevel="0" collapsed="false">
      <c r="B97" s="46"/>
      <c r="C97" s="50" t="s">
        <v>21</v>
      </c>
      <c r="D97" s="64" t="n">
        <v>1</v>
      </c>
      <c r="E97" s="64" t="s">
        <v>105</v>
      </c>
      <c r="F97" s="64" t="s">
        <v>185</v>
      </c>
      <c r="G97" s="64" t="n">
        <v>50</v>
      </c>
      <c r="H97" s="122" t="n">
        <f aca="false">H77</f>
        <v>20.3992</v>
      </c>
      <c r="I97" s="241" t="n">
        <v>5.327</v>
      </c>
      <c r="J97" s="241" t="n">
        <v>5.4508</v>
      </c>
      <c r="K97" s="242" t="n">
        <f aca="false">J97-I97</f>
        <v>0.1238</v>
      </c>
      <c r="L97" s="121" t="n">
        <v>36.5</v>
      </c>
      <c r="M97" s="121" t="n">
        <v>15.43</v>
      </c>
      <c r="N97" s="128"/>
      <c r="O97" s="128"/>
      <c r="P97" s="243" t="n">
        <f aca="false">K97*L97/100</f>
        <v>0.045187</v>
      </c>
      <c r="Q97" s="122" t="n">
        <f aca="false">1000*K97/H97</f>
        <v>6.06886544570376</v>
      </c>
      <c r="R97" s="122"/>
      <c r="S97" s="240"/>
      <c r="T97" s="122" t="n">
        <f aca="false">1000*P97/H97</f>
        <v>2.21513588768187</v>
      </c>
      <c r="U97" s="122"/>
      <c r="V97" s="194"/>
      <c r="W97" s="194" t="n">
        <f aca="false">100*T97/(T77+T97+T117)</f>
        <v>6.86054996568587</v>
      </c>
      <c r="X97" s="244" t="n">
        <f aca="false">QUARTILE(W96:W100,1)-(1.5*(QUARTILE(W96:W100,3)-QUARTILE(W96:W100,1)))</f>
        <v>6.30530926753836</v>
      </c>
      <c r="Y97" s="240"/>
      <c r="Z97" s="245"/>
      <c r="AA97" s="245"/>
      <c r="AB97" s="245"/>
      <c r="AC97" s="245"/>
      <c r="AD97" s="240"/>
    </row>
    <row r="98" customFormat="false" ht="12.8" hidden="false" customHeight="false" outlineLevel="0" collapsed="false">
      <c r="B98" s="46"/>
      <c r="C98" s="50" t="s">
        <v>21</v>
      </c>
      <c r="D98" s="64" t="n">
        <v>1</v>
      </c>
      <c r="E98" s="64" t="s">
        <v>108</v>
      </c>
      <c r="F98" s="64" t="s">
        <v>185</v>
      </c>
      <c r="G98" s="64" t="n">
        <v>50</v>
      </c>
      <c r="H98" s="122" t="n">
        <f aca="false">H78</f>
        <v>20.3589</v>
      </c>
      <c r="I98" s="241" t="n">
        <v>5.3028</v>
      </c>
      <c r="J98" s="241" t="n">
        <v>5.4308</v>
      </c>
      <c r="K98" s="242" t="n">
        <f aca="false">J98-I98</f>
        <v>0.127999999999999</v>
      </c>
      <c r="L98" s="121" t="n">
        <v>36.99</v>
      </c>
      <c r="M98" s="121" t="n">
        <v>14.72</v>
      </c>
      <c r="N98" s="128"/>
      <c r="O98" s="128"/>
      <c r="P98" s="243" t="n">
        <f aca="false">K98*L98/100</f>
        <v>0.0473471999999997</v>
      </c>
      <c r="Q98" s="122" t="n">
        <f aca="false">1000*K98/H98</f>
        <v>6.28717661563244</v>
      </c>
      <c r="R98" s="122"/>
      <c r="S98" s="240"/>
      <c r="T98" s="122" t="n">
        <f aca="false">1000*P98/H98</f>
        <v>2.32562663012244</v>
      </c>
      <c r="U98" s="122"/>
      <c r="V98" s="194"/>
      <c r="W98" s="194" t="n">
        <f aca="false">100*T98/(T78+T98+T118)</f>
        <v>7.2503657861236</v>
      </c>
      <c r="X98" s="244" t="n">
        <f aca="false">QUARTILE(W96:W100,3)+(1.5*(QUARTILE(W96:W100,3)-QUARTILE(W96:W100,1)))</f>
        <v>8.53333377157403</v>
      </c>
      <c r="Y98" s="240"/>
      <c r="Z98" s="245"/>
      <c r="AA98" s="245"/>
      <c r="AB98" s="245"/>
      <c r="AC98" s="245"/>
      <c r="AD98" s="240"/>
    </row>
    <row r="99" customFormat="false" ht="12.8" hidden="false" customHeight="false" outlineLevel="0" collapsed="false">
      <c r="B99" s="46"/>
      <c r="C99" s="50" t="s">
        <v>21</v>
      </c>
      <c r="D99" s="64" t="n">
        <v>1</v>
      </c>
      <c r="E99" s="64" t="s">
        <v>111</v>
      </c>
      <c r="F99" s="64" t="s">
        <v>185</v>
      </c>
      <c r="G99" s="64" t="n">
        <v>50</v>
      </c>
      <c r="H99" s="122" t="n">
        <f aca="false">H79</f>
        <v>20.6658</v>
      </c>
      <c r="I99" s="241" t="n">
        <v>5.314</v>
      </c>
      <c r="J99" s="241" t="n">
        <v>5.4591</v>
      </c>
      <c r="K99" s="242" t="n">
        <f aca="false">J99-I99</f>
        <v>0.1451</v>
      </c>
      <c r="L99" s="121" t="n">
        <v>35.7</v>
      </c>
      <c r="M99" s="121" t="n">
        <v>14.25</v>
      </c>
      <c r="N99" s="128"/>
      <c r="O99" s="128"/>
      <c r="P99" s="243" t="n">
        <f aca="false">K99*L99/100</f>
        <v>0.0518007000000001</v>
      </c>
      <c r="Q99" s="122" t="n">
        <f aca="false">1000*K99/H99</f>
        <v>7.02126218196248</v>
      </c>
      <c r="R99" s="122"/>
      <c r="S99" s="240"/>
      <c r="T99" s="122" t="n">
        <f aca="false">1000*P99/H99</f>
        <v>2.50659059896061</v>
      </c>
      <c r="U99" s="122"/>
      <c r="V99" s="194"/>
      <c r="W99" s="194" t="n">
        <f aca="false">100*T99/(T79+T99+T119)</f>
        <v>7.69782458256065</v>
      </c>
      <c r="X99" s="246"/>
      <c r="Y99" s="240"/>
      <c r="Z99" s="245"/>
      <c r="AA99" s="245"/>
      <c r="AB99" s="245"/>
      <c r="AC99" s="245"/>
      <c r="AD99" s="240"/>
    </row>
    <row r="100" customFormat="false" ht="12.8" hidden="false" customHeight="false" outlineLevel="0" collapsed="false">
      <c r="B100" s="46"/>
      <c r="C100" s="50" t="s">
        <v>21</v>
      </c>
      <c r="D100" s="64" t="n">
        <v>1</v>
      </c>
      <c r="E100" s="64" t="s">
        <v>114</v>
      </c>
      <c r="F100" s="64" t="s">
        <v>185</v>
      </c>
      <c r="G100" s="255" t="n">
        <v>50</v>
      </c>
      <c r="H100" s="194" t="n">
        <f aca="false">H80</f>
        <v>20.2589</v>
      </c>
      <c r="I100" s="241" t="n">
        <v>5.2554</v>
      </c>
      <c r="J100" s="241" t="n">
        <v>5.3814</v>
      </c>
      <c r="K100" s="242" t="n">
        <f aca="false">J100-I100</f>
        <v>0.126</v>
      </c>
      <c r="L100" s="121" t="n">
        <v>37.04</v>
      </c>
      <c r="M100" s="121" t="n">
        <v>15.2</v>
      </c>
      <c r="N100" s="128"/>
      <c r="O100" s="128"/>
      <c r="P100" s="243" t="n">
        <f aca="false">K100*L100/100</f>
        <v>0.0466704000000001</v>
      </c>
      <c r="Q100" s="194" t="n">
        <f aca="false">1000*K100/H100</f>
        <v>6.21948871853854</v>
      </c>
      <c r="R100" s="194"/>
      <c r="S100" s="240"/>
      <c r="T100" s="194" t="n">
        <f aca="false">1000*P100/H100</f>
        <v>2.30369862134667</v>
      </c>
      <c r="U100" s="194"/>
      <c r="V100" s="194"/>
      <c r="W100" s="194" t="n">
        <f aca="false">100*T100/(T80+T100+T120)</f>
        <v>7.14081845655173</v>
      </c>
      <c r="X100" s="194"/>
      <c r="Y100" s="240"/>
      <c r="Z100" s="245"/>
      <c r="AA100" s="245"/>
      <c r="AB100" s="245"/>
      <c r="AC100" s="245"/>
      <c r="AD100" s="240"/>
    </row>
    <row r="101" customFormat="false" ht="12.8" hidden="false" customHeight="false" outlineLevel="0" collapsed="false">
      <c r="B101" s="46"/>
      <c r="C101" s="176" t="s">
        <v>21</v>
      </c>
      <c r="D101" s="247" t="n">
        <v>4</v>
      </c>
      <c r="E101" s="247" t="s">
        <v>103</v>
      </c>
      <c r="F101" s="247" t="s">
        <v>185</v>
      </c>
      <c r="G101" s="247" t="n">
        <v>50</v>
      </c>
      <c r="H101" s="181" t="n">
        <f aca="false">H81</f>
        <v>20.3551</v>
      </c>
      <c r="I101" s="248" t="n">
        <v>5.3106</v>
      </c>
      <c r="J101" s="248" t="n">
        <v>5.4701</v>
      </c>
      <c r="K101" s="249" t="n">
        <f aca="false">J101-I101</f>
        <v>0.1595</v>
      </c>
      <c r="L101" s="179" t="n">
        <v>35.06</v>
      </c>
      <c r="M101" s="179" t="n">
        <v>15.78</v>
      </c>
      <c r="N101" s="250" t="n">
        <f aca="false">AVERAGE(M101:M105)</f>
        <v>16.192</v>
      </c>
      <c r="O101" s="250" t="n">
        <f aca="false">STDEV(M101:M105)</f>
        <v>1.1043867076346</v>
      </c>
      <c r="P101" s="251" t="n">
        <f aca="false">K101*L101/100</f>
        <v>0.0559207000000002</v>
      </c>
      <c r="Q101" s="181" t="n">
        <f aca="false">1000*K101/H101</f>
        <v>7.83587405613337</v>
      </c>
      <c r="R101" s="181" t="n">
        <f aca="false">AVERAGE(Q101:Q105)</f>
        <v>6.47588283990753</v>
      </c>
      <c r="S101" s="252" t="n">
        <f aca="false">STDEV(Q101:Q105)</f>
        <v>0.850493975753923</v>
      </c>
      <c r="T101" s="181" t="n">
        <f aca="false">1000*P101/H101</f>
        <v>2.74725744408036</v>
      </c>
      <c r="U101" s="181" t="n">
        <f aca="false">AVERAGE(T101:T105)</f>
        <v>2.33932697876819</v>
      </c>
      <c r="V101" s="181" t="n">
        <f aca="false">STDEV(T101:T105)</f>
        <v>0.285517981919788</v>
      </c>
      <c r="W101" s="181" t="n">
        <f aca="false">100*T101/(T81+T101+T121)</f>
        <v>8.45364151772049</v>
      </c>
      <c r="X101" s="181" t="n">
        <f aca="false">AVERAGE(W101:W105)</f>
        <v>7.05331999873727</v>
      </c>
      <c r="Y101" s="252" t="n">
        <f aca="false">STDEV(W101:W105)</f>
        <v>0.895234250811328</v>
      </c>
      <c r="Z101" s="253"/>
      <c r="AA101" s="253"/>
      <c r="AB101" s="253"/>
      <c r="AC101" s="253"/>
      <c r="AD101" s="240"/>
    </row>
    <row r="102" customFormat="false" ht="12.8" hidden="false" customHeight="false" outlineLevel="0" collapsed="false">
      <c r="B102" s="46"/>
      <c r="C102" s="50" t="s">
        <v>21</v>
      </c>
      <c r="D102" s="64" t="n">
        <v>4</v>
      </c>
      <c r="E102" s="64" t="s">
        <v>105</v>
      </c>
      <c r="F102" s="64" t="s">
        <v>185</v>
      </c>
      <c r="G102" s="64" t="n">
        <v>50</v>
      </c>
      <c r="H102" s="122" t="n">
        <f aca="false">H82</f>
        <v>20.3881</v>
      </c>
      <c r="I102" s="241" t="n">
        <v>5.28</v>
      </c>
      <c r="J102" s="241" t="n">
        <v>5.4143</v>
      </c>
      <c r="K102" s="242" t="n">
        <f aca="false">J102-I102</f>
        <v>0.1343</v>
      </c>
      <c r="L102" s="121" t="n">
        <v>35.28</v>
      </c>
      <c r="M102" s="121" t="n">
        <v>15.83</v>
      </c>
      <c r="N102" s="128"/>
      <c r="O102" s="128"/>
      <c r="P102" s="243" t="n">
        <f aca="false">K102*L102/100</f>
        <v>0.0473810399999999</v>
      </c>
      <c r="Q102" s="122" t="n">
        <f aca="false">1000*K102/H102</f>
        <v>6.58717585258065</v>
      </c>
      <c r="R102" s="122"/>
      <c r="S102" s="240"/>
      <c r="T102" s="122" t="n">
        <f aca="false">1000*P102/H102</f>
        <v>2.32395564079045</v>
      </c>
      <c r="U102" s="122"/>
      <c r="V102" s="194"/>
      <c r="W102" s="194" t="n">
        <f aca="false">100*T102/(T82+T102+T122)</f>
        <v>7.080199626763</v>
      </c>
      <c r="X102" s="244" t="n">
        <f aca="false">QUARTILE(W101:W105,1)-(1.5*(QUARTILE(W101:W105,3)-QUARTILE(W101:W105,1)))</f>
        <v>4.99548373975427</v>
      </c>
      <c r="Y102" s="240"/>
      <c r="Z102" s="245"/>
      <c r="AA102" s="245"/>
      <c r="AB102" s="245"/>
      <c r="AC102" s="245"/>
      <c r="AD102" s="240"/>
    </row>
    <row r="103" customFormat="false" ht="12.8" hidden="false" customHeight="false" outlineLevel="0" collapsed="false">
      <c r="B103" s="46"/>
      <c r="C103" s="50" t="s">
        <v>21</v>
      </c>
      <c r="D103" s="64" t="n">
        <v>4</v>
      </c>
      <c r="E103" s="64" t="s">
        <v>108</v>
      </c>
      <c r="F103" s="64" t="s">
        <v>185</v>
      </c>
      <c r="G103" s="64" t="n">
        <v>50</v>
      </c>
      <c r="H103" s="122" t="n">
        <f aca="false">H83</f>
        <v>20.3455</v>
      </c>
      <c r="I103" s="241" t="n">
        <v>5.1652</v>
      </c>
      <c r="J103" s="241" t="n">
        <v>5.2962</v>
      </c>
      <c r="K103" s="242" t="n">
        <f aca="false">J103-I103</f>
        <v>0.131</v>
      </c>
      <c r="L103" s="121" t="n">
        <v>38.42</v>
      </c>
      <c r="M103" s="121" t="n">
        <v>17.75</v>
      </c>
      <c r="N103" s="128"/>
      <c r="O103" s="128"/>
      <c r="P103" s="243" t="n">
        <f aca="false">K103*L103/100</f>
        <v>0.0503302000000001</v>
      </c>
      <c r="Q103" s="122" t="n">
        <f aca="false">1000*K103/H103</f>
        <v>6.43877024403432</v>
      </c>
      <c r="R103" s="122"/>
      <c r="S103" s="240"/>
      <c r="T103" s="122" t="n">
        <f aca="false">1000*P103/H103</f>
        <v>2.47377552775799</v>
      </c>
      <c r="U103" s="122"/>
      <c r="V103" s="194"/>
      <c r="W103" s="194" t="n">
        <f aca="false">100*T103/(T83+T103+T123)</f>
        <v>7.189642487627</v>
      </c>
      <c r="X103" s="244" t="n">
        <f aca="false">QUARTILE(W101:W105,3)+(1.5*(QUARTILE(W101:W105,3)-QUARTILE(W101:W105,1)))</f>
        <v>8.50613773635064</v>
      </c>
      <c r="Y103" s="240"/>
      <c r="Z103" s="245"/>
      <c r="AA103" s="245"/>
      <c r="AB103" s="245"/>
      <c r="AC103" s="245"/>
      <c r="AD103" s="240"/>
    </row>
    <row r="104" customFormat="false" ht="12.8" hidden="false" customHeight="false" outlineLevel="0" collapsed="false">
      <c r="B104" s="46"/>
      <c r="C104" s="50" t="s">
        <v>21</v>
      </c>
      <c r="D104" s="64" t="n">
        <v>4</v>
      </c>
      <c r="E104" s="64" t="s">
        <v>111</v>
      </c>
      <c r="F104" s="64" t="s">
        <v>185</v>
      </c>
      <c r="G104" s="64" t="n">
        <v>50</v>
      </c>
      <c r="H104" s="122" t="n">
        <f aca="false">H84</f>
        <v>20.2075</v>
      </c>
      <c r="I104" s="241" t="n">
        <v>5.2799</v>
      </c>
      <c r="J104" s="241" t="n">
        <v>5.3957</v>
      </c>
      <c r="K104" s="242" t="n">
        <f aca="false">J104-I104</f>
        <v>0.1158</v>
      </c>
      <c r="L104" s="121" t="n">
        <v>36.84</v>
      </c>
      <c r="M104" s="121" t="n">
        <v>16.76</v>
      </c>
      <c r="N104" s="128"/>
      <c r="O104" s="128"/>
      <c r="P104" s="243" t="n">
        <f aca="false">K104*L104/100</f>
        <v>0.0426607200000001</v>
      </c>
      <c r="Q104" s="122" t="n">
        <f aca="false">1000*K104/H104</f>
        <v>5.73054558950885</v>
      </c>
      <c r="R104" s="122"/>
      <c r="S104" s="240"/>
      <c r="T104" s="122" t="n">
        <f aca="false">1000*P104/H104</f>
        <v>2.11113299517506</v>
      </c>
      <c r="U104" s="122"/>
      <c r="V104" s="194"/>
      <c r="W104" s="194" t="n">
        <f aca="false">100*T104/(T84+T104+T124)</f>
        <v>6.31197898847791</v>
      </c>
      <c r="X104" s="246"/>
      <c r="Y104" s="240"/>
      <c r="Z104" s="245"/>
      <c r="AA104" s="245"/>
      <c r="AB104" s="245"/>
      <c r="AC104" s="245"/>
      <c r="AD104" s="240"/>
    </row>
    <row r="105" customFormat="false" ht="12.8" hidden="false" customHeight="false" outlineLevel="0" collapsed="false">
      <c r="B105" s="46"/>
      <c r="C105" s="50" t="s">
        <v>21</v>
      </c>
      <c r="D105" s="64" t="n">
        <v>4</v>
      </c>
      <c r="E105" s="64" t="s">
        <v>114</v>
      </c>
      <c r="F105" s="64" t="s">
        <v>185</v>
      </c>
      <c r="G105" s="255" t="n">
        <v>50</v>
      </c>
      <c r="H105" s="194" t="n">
        <f aca="false">H85</f>
        <v>20.2694</v>
      </c>
      <c r="I105" s="241" t="n">
        <v>5.3082</v>
      </c>
      <c r="J105" s="241" t="n">
        <v>5.4255</v>
      </c>
      <c r="K105" s="242" t="n">
        <f aca="false">J105-I105</f>
        <v>0.1173</v>
      </c>
      <c r="L105" s="121" t="n">
        <v>35.26</v>
      </c>
      <c r="M105" s="121" t="n">
        <v>14.84</v>
      </c>
      <c r="N105" s="128"/>
      <c r="O105" s="128"/>
      <c r="P105" s="243" t="n">
        <f aca="false">K105*L105/100</f>
        <v>0.0413599800000001</v>
      </c>
      <c r="Q105" s="194" t="n">
        <f aca="false">1000*K105/H105</f>
        <v>5.78704845728044</v>
      </c>
      <c r="R105" s="194"/>
      <c r="S105" s="240"/>
      <c r="T105" s="194" t="n">
        <f aca="false">1000*P105/H105</f>
        <v>2.04051328603708</v>
      </c>
      <c r="U105" s="194"/>
      <c r="V105" s="194"/>
      <c r="W105" s="194" t="n">
        <f aca="false">100*T105/(T85+T105+T125)</f>
        <v>6.23113737309796</v>
      </c>
      <c r="X105" s="194"/>
      <c r="Y105" s="240"/>
      <c r="Z105" s="245"/>
      <c r="AA105" s="245"/>
      <c r="AB105" s="245"/>
      <c r="AC105" s="245"/>
      <c r="AD105" s="240"/>
    </row>
    <row r="106" customFormat="false" ht="12.8" hidden="false" customHeight="false" outlineLevel="0" collapsed="false">
      <c r="B106" s="46"/>
      <c r="C106" s="96" t="s">
        <v>21</v>
      </c>
      <c r="D106" s="234" t="s">
        <v>158</v>
      </c>
      <c r="E106" s="59" t="s">
        <v>103</v>
      </c>
      <c r="F106" s="59" t="s">
        <v>185</v>
      </c>
      <c r="G106" s="59" t="s">
        <v>184</v>
      </c>
      <c r="H106" s="212" t="n">
        <f aca="false">H66</f>
        <v>20.2892</v>
      </c>
      <c r="I106" s="235" t="n">
        <v>25.0112</v>
      </c>
      <c r="J106" s="235" t="n">
        <v>45.052</v>
      </c>
      <c r="K106" s="236" t="n">
        <f aca="false">J106-I106</f>
        <v>20.0408</v>
      </c>
      <c r="L106" s="237" t="n">
        <v>3.16</v>
      </c>
      <c r="M106" s="237" t="n">
        <v>10.4</v>
      </c>
      <c r="N106" s="238" t="n">
        <f aca="false">AVERAGE(M106:M110)</f>
        <v>10.2</v>
      </c>
      <c r="O106" s="238" t="n">
        <f aca="false">STDEV(M106:M110)</f>
        <v>0.122474487139159</v>
      </c>
      <c r="P106" s="239" t="n">
        <f aca="false">K106*L106/100</f>
        <v>0.63328928</v>
      </c>
      <c r="Q106" s="212"/>
      <c r="R106" s="212"/>
      <c r="S106" s="215"/>
      <c r="T106" s="212" t="n">
        <f aca="false">1000*P106/H106</f>
        <v>31.2131222522327</v>
      </c>
      <c r="U106" s="212" t="n">
        <f aca="false">AVERAGE(T106:T110)</f>
        <v>30.7952237590174</v>
      </c>
      <c r="V106" s="212" t="n">
        <f aca="false">STDEV(T106:T110)</f>
        <v>0.82263771043917</v>
      </c>
      <c r="W106" s="212" t="n">
        <f aca="false">100*T106/(T66+T86+T106)</f>
        <v>89.0267481196244</v>
      </c>
      <c r="X106" s="212" t="n">
        <f aca="false">AVERAGE(W106:W110)</f>
        <v>89.7024221394721</v>
      </c>
      <c r="Y106" s="215" t="n">
        <f aca="false">STDEV(W106:W110)</f>
        <v>0.454941624393921</v>
      </c>
      <c r="Z106" s="213"/>
      <c r="AA106" s="257" t="n">
        <f aca="false">TTEST(W106:W110,W111:W115,2,2)</f>
        <v>4.52474870856284E-005</v>
      </c>
      <c r="AB106" s="213" t="n">
        <f aca="false">TTEST(W106:W110,W116:W120,2,2)</f>
        <v>0.0764346637432156</v>
      </c>
      <c r="AC106" s="257" t="n">
        <f aca="false">TTEST(W106:W110,W121:W125,2,2)</f>
        <v>0.00670361038374361</v>
      </c>
      <c r="AD106" s="240"/>
    </row>
    <row r="107" customFormat="false" ht="12.8" hidden="false" customHeight="false" outlineLevel="0" collapsed="false">
      <c r="B107" s="46"/>
      <c r="C107" s="50" t="s">
        <v>21</v>
      </c>
      <c r="D107" s="64" t="s">
        <v>158</v>
      </c>
      <c r="E107" s="64" t="s">
        <v>105</v>
      </c>
      <c r="F107" s="64" t="s">
        <v>185</v>
      </c>
      <c r="G107" s="64" t="s">
        <v>184</v>
      </c>
      <c r="H107" s="122" t="n">
        <f aca="false">H67</f>
        <v>19.8799</v>
      </c>
      <c r="I107" s="241" t="n">
        <v>24.8487</v>
      </c>
      <c r="J107" s="241" t="n">
        <v>44.5414</v>
      </c>
      <c r="K107" s="242" t="n">
        <f aca="false">J107-I107</f>
        <v>19.6927</v>
      </c>
      <c r="L107" s="121" t="n">
        <v>2.98</v>
      </c>
      <c r="M107" s="121" t="n">
        <v>10.2</v>
      </c>
      <c r="N107" s="128"/>
      <c r="O107" s="128"/>
      <c r="P107" s="243" t="n">
        <f aca="false">K107*L107/100</f>
        <v>0.58684246</v>
      </c>
      <c r="Q107" s="122"/>
      <c r="R107" s="122"/>
      <c r="S107" s="240"/>
      <c r="T107" s="122" t="n">
        <f aca="false">1000*P107/H107</f>
        <v>29.5193869184453</v>
      </c>
      <c r="U107" s="122"/>
      <c r="V107" s="194"/>
      <c r="W107" s="194" t="n">
        <f aca="false">100*T107/(T67+T87+T107)</f>
        <v>90.1756635583515</v>
      </c>
      <c r="X107" s="244" t="n">
        <f aca="false">QUARTILE(W106:W110,1)-(1.5*(QUARTILE(W106:W110,3)-QUARTILE(W106:W110,1)))</f>
        <v>88.7523963966249</v>
      </c>
      <c r="Y107" s="240"/>
      <c r="Z107" s="245"/>
      <c r="AA107" s="245"/>
      <c r="AB107" s="245"/>
      <c r="AC107" s="245"/>
      <c r="AD107" s="240"/>
    </row>
    <row r="108" customFormat="false" ht="12.8" hidden="false" customHeight="false" outlineLevel="0" collapsed="false">
      <c r="B108" s="46"/>
      <c r="C108" s="50" t="s">
        <v>21</v>
      </c>
      <c r="D108" s="64" t="s">
        <v>158</v>
      </c>
      <c r="E108" s="64" t="s">
        <v>108</v>
      </c>
      <c r="F108" s="64" t="s">
        <v>185</v>
      </c>
      <c r="G108" s="64" t="s">
        <v>184</v>
      </c>
      <c r="H108" s="122" t="n">
        <f aca="false">H68</f>
        <v>20.1166</v>
      </c>
      <c r="I108" s="241" t="n">
        <v>22.2737</v>
      </c>
      <c r="J108" s="241" t="n">
        <v>42.1902</v>
      </c>
      <c r="K108" s="242" t="n">
        <f aca="false">J108-I108</f>
        <v>19.9165</v>
      </c>
      <c r="L108" s="121" t="n">
        <v>3.14</v>
      </c>
      <c r="M108" s="121" t="n">
        <v>10.1</v>
      </c>
      <c r="N108" s="128"/>
      <c r="O108" s="128"/>
      <c r="P108" s="243" t="n">
        <f aca="false">K108*L108/100</f>
        <v>0.6253781</v>
      </c>
      <c r="Q108" s="122"/>
      <c r="R108" s="122"/>
      <c r="S108" s="240"/>
      <c r="T108" s="122" t="n">
        <f aca="false">1000*P108/H108</f>
        <v>31.0876639193502</v>
      </c>
      <c r="U108" s="122"/>
      <c r="V108" s="194"/>
      <c r="W108" s="194" t="n">
        <f aca="false">100*T108/(T68+T88+T108)</f>
        <v>89.4746640340488</v>
      </c>
      <c r="X108" s="244" t="n">
        <f aca="false">QUARTILE(W106:W110,3)+(1.5*(QUARTILE(W106:W110,3)-QUARTILE(W106:W110,1)))</f>
        <v>90.6784434297553</v>
      </c>
      <c r="Y108" s="240"/>
      <c r="Z108" s="245"/>
      <c r="AA108" s="245"/>
      <c r="AB108" s="245"/>
      <c r="AC108" s="245"/>
      <c r="AD108" s="240"/>
    </row>
    <row r="109" customFormat="false" ht="12.8" hidden="false" customHeight="false" outlineLevel="0" collapsed="false">
      <c r="B109" s="46"/>
      <c r="C109" s="50" t="s">
        <v>21</v>
      </c>
      <c r="D109" s="64" t="s">
        <v>158</v>
      </c>
      <c r="E109" s="64" t="s">
        <v>111</v>
      </c>
      <c r="F109" s="64" t="s">
        <v>185</v>
      </c>
      <c r="G109" s="64" t="s">
        <v>184</v>
      </c>
      <c r="H109" s="122" t="n">
        <f aca="false">H69</f>
        <v>20.1957</v>
      </c>
      <c r="I109" s="241" t="n">
        <v>24.5845</v>
      </c>
      <c r="J109" s="241" t="n">
        <v>44.5606</v>
      </c>
      <c r="K109" s="242" t="n">
        <f aca="false">J109-I109</f>
        <v>19.9761</v>
      </c>
      <c r="L109" s="121" t="n">
        <v>3.2</v>
      </c>
      <c r="M109" s="121" t="n">
        <v>10.2</v>
      </c>
      <c r="N109" s="128"/>
      <c r="O109" s="128"/>
      <c r="P109" s="243" t="n">
        <f aca="false">K109*L109/100</f>
        <v>0.6392352</v>
      </c>
      <c r="Q109" s="122"/>
      <c r="R109" s="122"/>
      <c r="S109" s="240"/>
      <c r="T109" s="122" t="n">
        <f aca="false">1000*P109/H109</f>
        <v>31.6520447421976</v>
      </c>
      <c r="U109" s="122"/>
      <c r="V109" s="194"/>
      <c r="W109" s="194" t="n">
        <f aca="false">100*T109/(T69+T89+T109)</f>
        <v>89.8788591930042</v>
      </c>
      <c r="X109" s="246"/>
      <c r="Y109" s="240"/>
      <c r="Z109" s="245"/>
      <c r="AA109" s="245"/>
      <c r="AB109" s="245"/>
      <c r="AC109" s="245"/>
      <c r="AD109" s="240"/>
    </row>
    <row r="110" customFormat="false" ht="12.8" hidden="false" customHeight="false" outlineLevel="0" collapsed="false">
      <c r="B110" s="46"/>
      <c r="C110" s="50" t="s">
        <v>21</v>
      </c>
      <c r="D110" s="64" t="s">
        <v>158</v>
      </c>
      <c r="E110" s="64" t="s">
        <v>114</v>
      </c>
      <c r="F110" s="64" t="s">
        <v>185</v>
      </c>
      <c r="G110" s="64" t="s">
        <v>184</v>
      </c>
      <c r="H110" s="122" t="n">
        <f aca="false">H70</f>
        <v>19.9925</v>
      </c>
      <c r="I110" s="241" t="n">
        <v>25.4507</v>
      </c>
      <c r="J110" s="241" t="n">
        <v>45.251</v>
      </c>
      <c r="K110" s="242" t="n">
        <f aca="false">J110-I110</f>
        <v>19.8003</v>
      </c>
      <c r="L110" s="121" t="n">
        <v>3.08</v>
      </c>
      <c r="M110" s="121" t="n">
        <v>10.1</v>
      </c>
      <c r="N110" s="128"/>
      <c r="O110" s="128"/>
      <c r="P110" s="243" t="n">
        <f aca="false">K110*L110/100</f>
        <v>0.60984924</v>
      </c>
      <c r="Q110" s="122"/>
      <c r="R110" s="122"/>
      <c r="S110" s="240"/>
      <c r="T110" s="122" t="n">
        <f aca="false">1000*P110/H110</f>
        <v>30.5039009628611</v>
      </c>
      <c r="U110" s="122"/>
      <c r="V110" s="194"/>
      <c r="W110" s="194" t="n">
        <f aca="false">100*T110/(T70+T90+T110)</f>
        <v>89.9561757923314</v>
      </c>
      <c r="X110" s="122"/>
      <c r="Y110" s="240"/>
      <c r="Z110" s="245"/>
      <c r="AA110" s="245"/>
      <c r="AB110" s="245"/>
      <c r="AC110" s="245"/>
      <c r="AD110" s="240"/>
    </row>
    <row r="111" customFormat="false" ht="12.8" hidden="false" customHeight="false" outlineLevel="0" collapsed="false">
      <c r="B111" s="46"/>
      <c r="C111" s="176" t="s">
        <v>21</v>
      </c>
      <c r="D111" s="247" t="n">
        <v>0</v>
      </c>
      <c r="E111" s="247" t="s">
        <v>103</v>
      </c>
      <c r="F111" s="247" t="s">
        <v>185</v>
      </c>
      <c r="G111" s="247" t="s">
        <v>184</v>
      </c>
      <c r="H111" s="181" t="n">
        <f aca="false">H71</f>
        <v>19.7492</v>
      </c>
      <c r="I111" s="248" t="n">
        <v>25.3859</v>
      </c>
      <c r="J111" s="248" t="n">
        <v>44.8199</v>
      </c>
      <c r="K111" s="249" t="n">
        <f aca="false">J111-I111</f>
        <v>19.434</v>
      </c>
      <c r="L111" s="179" t="n">
        <v>3.05</v>
      </c>
      <c r="M111" s="179" t="n">
        <v>10.2</v>
      </c>
      <c r="N111" s="250" t="n">
        <f aca="false">AVERAGE(M111:M115)</f>
        <v>10.04</v>
      </c>
      <c r="O111" s="250" t="n">
        <f aca="false">STDEV(M111:M115)</f>
        <v>0.15165750888103</v>
      </c>
      <c r="P111" s="251" t="n">
        <f aca="false">K111*L111/100</f>
        <v>0.592737</v>
      </c>
      <c r="Q111" s="181"/>
      <c r="R111" s="181"/>
      <c r="S111" s="252"/>
      <c r="T111" s="181" t="n">
        <f aca="false">1000*P111/H111</f>
        <v>30.0132157251939</v>
      </c>
      <c r="U111" s="181" t="n">
        <f aca="false">AVERAGE(T111:T115)</f>
        <v>28.3359983388189</v>
      </c>
      <c r="V111" s="181" t="n">
        <f aca="false">STDEV(T111:T115)</f>
        <v>1.28437220262425</v>
      </c>
      <c r="W111" s="259" t="n">
        <f aca="false">100*T111/(T71+T91+T111)</f>
        <v>83.3384464636138</v>
      </c>
      <c r="X111" s="181" t="n">
        <f aca="false">AVERAGE(W111:W115)</f>
        <v>85.1552291522567</v>
      </c>
      <c r="Y111" s="252" t="n">
        <f aca="false">STDEV(W111:W115)</f>
        <v>1.19350213732664</v>
      </c>
      <c r="Z111" s="253"/>
      <c r="AA111" s="253"/>
      <c r="AB111" s="261"/>
      <c r="AC111" s="261"/>
      <c r="AD111" s="240"/>
    </row>
    <row r="112" customFormat="false" ht="12.8" hidden="false" customHeight="false" outlineLevel="0" collapsed="false">
      <c r="B112" s="46"/>
      <c r="C112" s="50" t="s">
        <v>21</v>
      </c>
      <c r="D112" s="64" t="n">
        <v>0</v>
      </c>
      <c r="E112" s="64" t="s">
        <v>105</v>
      </c>
      <c r="F112" s="64" t="s">
        <v>185</v>
      </c>
      <c r="G112" s="64" t="s">
        <v>184</v>
      </c>
      <c r="H112" s="122" t="n">
        <f aca="false">H72</f>
        <v>19.8986</v>
      </c>
      <c r="I112" s="241" t="n">
        <v>21.2065</v>
      </c>
      <c r="J112" s="241" t="n">
        <v>40.8572</v>
      </c>
      <c r="K112" s="242" t="n">
        <f aca="false">J112-I112</f>
        <v>19.6507</v>
      </c>
      <c r="L112" s="121" t="n">
        <v>2.73</v>
      </c>
      <c r="M112" s="121" t="n">
        <v>10.2</v>
      </c>
      <c r="N112" s="128"/>
      <c r="O112" s="128"/>
      <c r="P112" s="243" t="n">
        <f aca="false">K112*L112/100</f>
        <v>0.53646411</v>
      </c>
      <c r="Q112" s="122"/>
      <c r="R112" s="122"/>
      <c r="S112" s="240"/>
      <c r="T112" s="122" t="n">
        <f aca="false">1000*P112/H112</f>
        <v>26.9598921532168</v>
      </c>
      <c r="U112" s="122"/>
      <c r="V112" s="194"/>
      <c r="W112" s="194" t="n">
        <f aca="false">100*T112/(T72+T92+T112)</f>
        <v>84.989466383641</v>
      </c>
      <c r="X112" s="244" t="n">
        <f aca="false">QUARTILE(W111:W115,1)-(1.5*(QUARTILE(W111:W115,3)-QUARTILE(W111:W115,1)))</f>
        <v>83.9765095886185</v>
      </c>
      <c r="Y112" s="240"/>
      <c r="Z112" s="245"/>
      <c r="AA112" s="245"/>
      <c r="AB112" s="245"/>
      <c r="AC112" s="245"/>
      <c r="AD112" s="240"/>
    </row>
    <row r="113" customFormat="false" ht="12.8" hidden="false" customHeight="false" outlineLevel="0" collapsed="false">
      <c r="B113" s="46"/>
      <c r="C113" s="50" t="s">
        <v>21</v>
      </c>
      <c r="D113" s="64" t="n">
        <v>0</v>
      </c>
      <c r="E113" s="64" t="s">
        <v>108</v>
      </c>
      <c r="F113" s="64" t="s">
        <v>185</v>
      </c>
      <c r="G113" s="64" t="s">
        <v>184</v>
      </c>
      <c r="H113" s="122" t="n">
        <f aca="false">H73</f>
        <v>20.0658</v>
      </c>
      <c r="I113" s="241" t="n">
        <v>25.1821</v>
      </c>
      <c r="J113" s="241" t="n">
        <v>44.8322</v>
      </c>
      <c r="K113" s="242" t="n">
        <f aca="false">J113-I113</f>
        <v>19.6501</v>
      </c>
      <c r="L113" s="121" t="n">
        <v>2.78</v>
      </c>
      <c r="M113" s="121" t="n">
        <v>9.9</v>
      </c>
      <c r="N113" s="128"/>
      <c r="O113" s="128"/>
      <c r="P113" s="243" t="n">
        <f aca="false">K113*L113/100</f>
        <v>0.54627278</v>
      </c>
      <c r="Q113" s="122"/>
      <c r="R113" s="122"/>
      <c r="S113" s="240"/>
      <c r="T113" s="122" t="n">
        <f aca="false">1000*P113/H113</f>
        <v>27.2240718037656</v>
      </c>
      <c r="U113" s="122"/>
      <c r="V113" s="194"/>
      <c r="W113" s="194" t="n">
        <f aca="false">100*T113/(T73+T93+T113)</f>
        <v>85.1758015262212</v>
      </c>
      <c r="X113" s="244" t="n">
        <f aca="false">QUARTILE(W111:W115,3)+(1.5*(QUARTILE(W111:W115,3)-QUARTILE(W111:W115,1)))</f>
        <v>86.6777277086785</v>
      </c>
      <c r="Y113" s="240"/>
      <c r="Z113" s="245"/>
      <c r="AA113" s="245"/>
      <c r="AB113" s="245"/>
      <c r="AC113" s="245"/>
      <c r="AD113" s="240"/>
    </row>
    <row r="114" customFormat="false" ht="12.8" hidden="false" customHeight="false" outlineLevel="0" collapsed="false">
      <c r="B114" s="46"/>
      <c r="C114" s="50" t="s">
        <v>21</v>
      </c>
      <c r="D114" s="64" t="n">
        <v>0</v>
      </c>
      <c r="E114" s="64" t="s">
        <v>111</v>
      </c>
      <c r="F114" s="64" t="s">
        <v>185</v>
      </c>
      <c r="G114" s="64" t="s">
        <v>184</v>
      </c>
      <c r="H114" s="122" t="n">
        <f aca="false">H74</f>
        <v>19.7892</v>
      </c>
      <c r="I114" s="241" t="n">
        <v>24.5772</v>
      </c>
      <c r="J114" s="241" t="n">
        <v>44.1163</v>
      </c>
      <c r="K114" s="242" t="n">
        <f aca="false">J114-I114</f>
        <v>19.5391</v>
      </c>
      <c r="L114" s="121" t="n">
        <v>2.87</v>
      </c>
      <c r="M114" s="121" t="n">
        <v>9.9</v>
      </c>
      <c r="N114" s="128"/>
      <c r="O114" s="128"/>
      <c r="P114" s="243" t="n">
        <f aca="false">K114*L114/100</f>
        <v>0.56077217</v>
      </c>
      <c r="Q114" s="122"/>
      <c r="R114" s="122"/>
      <c r="S114" s="240"/>
      <c r="T114" s="122" t="n">
        <f aca="false">1000*P114/H114</f>
        <v>28.3372834677501</v>
      </c>
      <c r="U114" s="122"/>
      <c r="V114" s="194"/>
      <c r="W114" s="194" t="n">
        <f aca="false">100*T114/(T74+T94+T114)</f>
        <v>85.664770913656</v>
      </c>
      <c r="X114" s="246"/>
      <c r="Y114" s="240"/>
      <c r="Z114" s="245"/>
      <c r="AA114" s="245"/>
      <c r="AB114" s="245"/>
      <c r="AC114" s="245"/>
      <c r="AD114" s="240"/>
    </row>
    <row r="115" customFormat="false" ht="12.8" hidden="false" customHeight="false" outlineLevel="0" collapsed="false">
      <c r="B115" s="46"/>
      <c r="C115" s="50" t="s">
        <v>21</v>
      </c>
      <c r="D115" s="64" t="n">
        <v>0</v>
      </c>
      <c r="E115" s="64" t="s">
        <v>114</v>
      </c>
      <c r="F115" s="64" t="s">
        <v>185</v>
      </c>
      <c r="G115" s="64" t="s">
        <v>184</v>
      </c>
      <c r="H115" s="122" t="n">
        <f aca="false">H75</f>
        <v>20.1232</v>
      </c>
      <c r="I115" s="241" t="n">
        <v>24.8529</v>
      </c>
      <c r="J115" s="241" t="n">
        <v>44.7343</v>
      </c>
      <c r="K115" s="242" t="n">
        <f aca="false">J115-I115</f>
        <v>19.8814</v>
      </c>
      <c r="L115" s="121" t="n">
        <v>2.95</v>
      </c>
      <c r="M115" s="121" t="n">
        <v>10</v>
      </c>
      <c r="N115" s="128"/>
      <c r="O115" s="128"/>
      <c r="P115" s="243" t="n">
        <f aca="false">K115*L115/100</f>
        <v>0.5865013</v>
      </c>
      <c r="Q115" s="122"/>
      <c r="R115" s="122"/>
      <c r="S115" s="240"/>
      <c r="T115" s="122" t="n">
        <f aca="false">1000*P115/H115</f>
        <v>29.1455285441679</v>
      </c>
      <c r="U115" s="122"/>
      <c r="V115" s="194"/>
      <c r="W115" s="194" t="n">
        <f aca="false">100*T115/(T75+T95+T115)</f>
        <v>86.6076604741515</v>
      </c>
      <c r="X115" s="122"/>
      <c r="Y115" s="240"/>
      <c r="Z115" s="245"/>
      <c r="AA115" s="245"/>
      <c r="AB115" s="245"/>
      <c r="AC115" s="245"/>
      <c r="AD115" s="240"/>
    </row>
    <row r="116" customFormat="false" ht="12.8" hidden="false" customHeight="false" outlineLevel="0" collapsed="false">
      <c r="B116" s="46"/>
      <c r="C116" s="176" t="s">
        <v>21</v>
      </c>
      <c r="D116" s="247" t="n">
        <v>1</v>
      </c>
      <c r="E116" s="247" t="s">
        <v>103</v>
      </c>
      <c r="F116" s="247" t="s">
        <v>185</v>
      </c>
      <c r="G116" s="247" t="s">
        <v>184</v>
      </c>
      <c r="H116" s="181" t="n">
        <f aca="false">H76</f>
        <v>20.0965</v>
      </c>
      <c r="I116" s="248" t="n">
        <v>24.4625</v>
      </c>
      <c r="J116" s="248" t="n">
        <v>44.2443</v>
      </c>
      <c r="K116" s="249" t="n">
        <f aca="false">J116-I116</f>
        <v>19.7818</v>
      </c>
      <c r="L116" s="179" t="n">
        <v>3.01</v>
      </c>
      <c r="M116" s="179" t="n">
        <v>10.2</v>
      </c>
      <c r="N116" s="250" t="n">
        <f aca="false">AVERAGE(M116:M120)</f>
        <v>10.14</v>
      </c>
      <c r="O116" s="250" t="n">
        <f aca="false">STDEV(M116:M120)</f>
        <v>0.0547722557505164</v>
      </c>
      <c r="P116" s="251" t="n">
        <f aca="false">K116*L116/100</f>
        <v>0.59543218</v>
      </c>
      <c r="Q116" s="181"/>
      <c r="R116" s="181"/>
      <c r="S116" s="252"/>
      <c r="T116" s="181" t="n">
        <f aca="false">1000*P116/H116</f>
        <v>29.6286507600826</v>
      </c>
      <c r="U116" s="181" t="n">
        <f aca="false">AVERAGE(T116:T120)</f>
        <v>28.828781909881</v>
      </c>
      <c r="V116" s="181" t="n">
        <f aca="false">STDEV(T116:T120)</f>
        <v>0.522423696918706</v>
      </c>
      <c r="W116" s="259" t="n">
        <f aca="false">100*T116/(T76+T96+T116)</f>
        <v>84.3460122733106</v>
      </c>
      <c r="X116" s="181" t="n">
        <f aca="false">AVERAGE(W116:W120)</f>
        <v>87.7837829842678</v>
      </c>
      <c r="Y116" s="252" t="n">
        <f aca="false">STDEV(W116:W120)</f>
        <v>2.06007354556055</v>
      </c>
      <c r="Z116" s="253"/>
      <c r="AA116" s="253"/>
      <c r="AB116" s="253"/>
      <c r="AC116" s="253"/>
      <c r="AD116" s="240"/>
    </row>
    <row r="117" customFormat="false" ht="12.8" hidden="false" customHeight="false" outlineLevel="0" collapsed="false">
      <c r="B117" s="46"/>
      <c r="C117" s="50" t="s">
        <v>21</v>
      </c>
      <c r="D117" s="64" t="n">
        <v>1</v>
      </c>
      <c r="E117" s="64" t="s">
        <v>105</v>
      </c>
      <c r="F117" s="64" t="s">
        <v>185</v>
      </c>
      <c r="G117" s="64" t="s">
        <v>184</v>
      </c>
      <c r="H117" s="122" t="n">
        <f aca="false">H77</f>
        <v>20.3992</v>
      </c>
      <c r="I117" s="241" t="n">
        <v>25.2196</v>
      </c>
      <c r="J117" s="241" t="n">
        <v>45.433</v>
      </c>
      <c r="K117" s="242" t="n">
        <f aca="false">J117-I117</f>
        <v>20.2134</v>
      </c>
      <c r="L117" s="121" t="n">
        <v>2.93</v>
      </c>
      <c r="M117" s="121" t="n">
        <v>10.1</v>
      </c>
      <c r="N117" s="128"/>
      <c r="O117" s="128"/>
      <c r="P117" s="243" t="n">
        <f aca="false">K117*L117/100</f>
        <v>0.59225262</v>
      </c>
      <c r="Q117" s="122"/>
      <c r="R117" s="122"/>
      <c r="S117" s="240"/>
      <c r="T117" s="122" t="n">
        <f aca="false">1000*P117/H117</f>
        <v>29.0331297305777</v>
      </c>
      <c r="U117" s="122"/>
      <c r="V117" s="194"/>
      <c r="W117" s="258" t="n">
        <f aca="false">100*T117/(T77+T97+T117)</f>
        <v>89.919195605337</v>
      </c>
      <c r="X117" s="244" t="n">
        <f aca="false">QUARTILE(W116:W120,1)-(1.5*(QUARTILE(W116:W120,3)-QUARTILE(W116:W120,1)))</f>
        <v>87.7092488312579</v>
      </c>
      <c r="Y117" s="240"/>
      <c r="Z117" s="245"/>
      <c r="AA117" s="245"/>
      <c r="AB117" s="245"/>
      <c r="AC117" s="245"/>
      <c r="AD117" s="240"/>
    </row>
    <row r="118" customFormat="false" ht="12.8" hidden="false" customHeight="false" outlineLevel="0" collapsed="false">
      <c r="B118" s="46"/>
      <c r="C118" s="50" t="s">
        <v>21</v>
      </c>
      <c r="D118" s="64" t="n">
        <v>1</v>
      </c>
      <c r="E118" s="64" t="s">
        <v>108</v>
      </c>
      <c r="F118" s="64" t="s">
        <v>185</v>
      </c>
      <c r="G118" s="64" t="s">
        <v>184</v>
      </c>
      <c r="H118" s="122" t="n">
        <f aca="false">H78</f>
        <v>20.3589</v>
      </c>
      <c r="I118" s="241" t="n">
        <v>24.5614</v>
      </c>
      <c r="J118" s="241" t="n">
        <v>44.706</v>
      </c>
      <c r="K118" s="242" t="n">
        <f aca="false">J118-I118</f>
        <v>20.1446</v>
      </c>
      <c r="L118" s="121" t="n">
        <v>2.86</v>
      </c>
      <c r="M118" s="121" t="n">
        <v>10.1</v>
      </c>
      <c r="N118" s="128"/>
      <c r="O118" s="128"/>
      <c r="P118" s="243" t="n">
        <f aca="false">K118*L118/100</f>
        <v>0.57613556</v>
      </c>
      <c r="Q118" s="122"/>
      <c r="R118" s="122"/>
      <c r="S118" s="240"/>
      <c r="T118" s="122" t="n">
        <f aca="false">1000*P118/H118</f>
        <v>28.2989532833306</v>
      </c>
      <c r="U118" s="122"/>
      <c r="V118" s="194"/>
      <c r="W118" s="194" t="n">
        <f aca="false">100*T118/(T78+T98+T118)</f>
        <v>88.2247218925974</v>
      </c>
      <c r="X118" s="244" t="n">
        <f aca="false">QUARTILE(W116:W120,3)+(1.5*(QUARTILE(W116:W120,3)-QUARTILE(W116:W120,1)))</f>
        <v>88.719736318836</v>
      </c>
      <c r="Y118" s="240"/>
      <c r="Z118" s="245"/>
      <c r="AA118" s="245"/>
      <c r="AB118" s="245"/>
      <c r="AC118" s="245"/>
      <c r="AD118" s="240"/>
    </row>
    <row r="119" customFormat="false" ht="12.8" hidden="false" customHeight="false" outlineLevel="0" collapsed="false">
      <c r="B119" s="46"/>
      <c r="C119" s="50" t="s">
        <v>21</v>
      </c>
      <c r="D119" s="64" t="n">
        <v>1</v>
      </c>
      <c r="E119" s="64" t="s">
        <v>111</v>
      </c>
      <c r="F119" s="64" t="s">
        <v>185</v>
      </c>
      <c r="G119" s="64" t="s">
        <v>184</v>
      </c>
      <c r="H119" s="122" t="n">
        <f aca="false">H79</f>
        <v>20.6658</v>
      </c>
      <c r="I119" s="241" t="n">
        <v>24.5614</v>
      </c>
      <c r="J119" s="241" t="n">
        <v>45.0017</v>
      </c>
      <c r="K119" s="242" t="n">
        <f aca="false">J119-I119</f>
        <v>20.4403</v>
      </c>
      <c r="L119" s="121" t="n">
        <v>2.9</v>
      </c>
      <c r="M119" s="121" t="n">
        <v>10.2</v>
      </c>
      <c r="N119" s="128"/>
      <c r="O119" s="128"/>
      <c r="P119" s="243" t="n">
        <f aca="false">K119*L119/100</f>
        <v>0.5927687</v>
      </c>
      <c r="Q119" s="122"/>
      <c r="R119" s="122"/>
      <c r="S119" s="240"/>
      <c r="T119" s="122" t="n">
        <f aca="false">1000*P119/H119</f>
        <v>28.6835593105517</v>
      </c>
      <c r="U119" s="122"/>
      <c r="V119" s="194"/>
      <c r="W119" s="194" t="n">
        <f aca="false">100*T119/(T79+T99+T119)</f>
        <v>88.0881816390997</v>
      </c>
      <c r="X119" s="246"/>
      <c r="Y119" s="240"/>
      <c r="Z119" s="245"/>
      <c r="AA119" s="245"/>
      <c r="AB119" s="245"/>
      <c r="AC119" s="245"/>
      <c r="AD119" s="240"/>
    </row>
    <row r="120" customFormat="false" ht="12.8" hidden="false" customHeight="false" outlineLevel="0" collapsed="false">
      <c r="B120" s="46"/>
      <c r="C120" s="50" t="s">
        <v>21</v>
      </c>
      <c r="D120" s="64" t="n">
        <v>1</v>
      </c>
      <c r="E120" s="64" t="s">
        <v>114</v>
      </c>
      <c r="F120" s="64" t="s">
        <v>185</v>
      </c>
      <c r="G120" s="255" t="s">
        <v>184</v>
      </c>
      <c r="H120" s="194" t="n">
        <f aca="false">H80</f>
        <v>20.2589</v>
      </c>
      <c r="I120" s="241" t="n">
        <v>25.0423</v>
      </c>
      <c r="J120" s="241" t="n">
        <v>45.0899</v>
      </c>
      <c r="K120" s="242" t="n">
        <f aca="false">J120-I120</f>
        <v>20.0476</v>
      </c>
      <c r="L120" s="121" t="n">
        <v>2.88</v>
      </c>
      <c r="M120" s="121" t="n">
        <v>10.1</v>
      </c>
      <c r="N120" s="128"/>
      <c r="O120" s="128"/>
      <c r="P120" s="243" t="n">
        <f aca="false">K120*L120/100</f>
        <v>0.57737088</v>
      </c>
      <c r="Q120" s="194"/>
      <c r="R120" s="194"/>
      <c r="S120" s="240"/>
      <c r="T120" s="194" t="n">
        <f aca="false">1000*P120/H120</f>
        <v>28.4996164648624</v>
      </c>
      <c r="U120" s="194"/>
      <c r="V120" s="194"/>
      <c r="W120" s="194" t="n">
        <f aca="false">100*T120/(T80+T100+T120)</f>
        <v>88.3408035109942</v>
      </c>
      <c r="X120" s="194"/>
      <c r="Y120" s="240"/>
      <c r="Z120" s="245"/>
      <c r="AA120" s="245"/>
      <c r="AB120" s="245"/>
      <c r="AC120" s="245"/>
      <c r="AD120" s="240"/>
    </row>
    <row r="121" customFormat="false" ht="12.8" hidden="false" customHeight="false" outlineLevel="0" collapsed="false">
      <c r="B121" s="46"/>
      <c r="C121" s="176" t="s">
        <v>21</v>
      </c>
      <c r="D121" s="247" t="n">
        <v>4</v>
      </c>
      <c r="E121" s="247" t="s">
        <v>103</v>
      </c>
      <c r="F121" s="247" t="s">
        <v>185</v>
      </c>
      <c r="G121" s="247" t="s">
        <v>184</v>
      </c>
      <c r="H121" s="181" t="n">
        <f aca="false">H81</f>
        <v>20.3551</v>
      </c>
      <c r="I121" s="248" t="n">
        <v>24.973</v>
      </c>
      <c r="J121" s="248" t="n">
        <v>45.1091</v>
      </c>
      <c r="K121" s="249" t="n">
        <f aca="false">J121-I121</f>
        <v>20.1361</v>
      </c>
      <c r="L121" s="179" t="n">
        <v>2.91</v>
      </c>
      <c r="M121" s="179" t="n">
        <v>10.1</v>
      </c>
      <c r="N121" s="250" t="n">
        <f aca="false">AVERAGE(M121:M125)</f>
        <v>10.16</v>
      </c>
      <c r="O121" s="250" t="n">
        <f aca="false">STDEV(M121:M125)</f>
        <v>0.0547722557505164</v>
      </c>
      <c r="P121" s="251" t="n">
        <f aca="false">K121*L121/100</f>
        <v>0.58596051</v>
      </c>
      <c r="Q121" s="181"/>
      <c r="R121" s="181"/>
      <c r="S121" s="252"/>
      <c r="T121" s="181" t="n">
        <f aca="false">1000*P121/H121</f>
        <v>28.7869138446876</v>
      </c>
      <c r="U121" s="181" t="n">
        <f aca="false">AVERAGE(T121:T125)</f>
        <v>29.4616208170526</v>
      </c>
      <c r="V121" s="181" t="n">
        <f aca="false">STDEV(T121:T125)</f>
        <v>0.723357273931885</v>
      </c>
      <c r="W121" s="181" t="n">
        <f aca="false">100*T121/(T81+T101+T121)</f>
        <v>88.5807955744592</v>
      </c>
      <c r="X121" s="181" t="n">
        <f aca="false">AVERAGE(W121:W125)</f>
        <v>88.7795447112599</v>
      </c>
      <c r="Y121" s="252" t="n">
        <f aca="false">STDEV(W121:W125)</f>
        <v>0.341393921495617</v>
      </c>
      <c r="Z121" s="253"/>
      <c r="AA121" s="253"/>
      <c r="AB121" s="253"/>
      <c r="AC121" s="253"/>
      <c r="AD121" s="240"/>
    </row>
    <row r="122" customFormat="false" ht="12.8" hidden="false" customHeight="false" outlineLevel="0" collapsed="false">
      <c r="B122" s="46"/>
      <c r="C122" s="50" t="s">
        <v>21</v>
      </c>
      <c r="D122" s="64" t="n">
        <v>4</v>
      </c>
      <c r="E122" s="64" t="s">
        <v>105</v>
      </c>
      <c r="F122" s="64" t="s">
        <v>185</v>
      </c>
      <c r="G122" s="64" t="s">
        <v>184</v>
      </c>
      <c r="H122" s="122" t="n">
        <f aca="false">H82</f>
        <v>20.3881</v>
      </c>
      <c r="I122" s="241" t="n">
        <v>24.8483</v>
      </c>
      <c r="J122" s="241" t="n">
        <v>45.0155</v>
      </c>
      <c r="K122" s="242" t="n">
        <f aca="false">J122-I122</f>
        <v>20.1672</v>
      </c>
      <c r="L122" s="121" t="n">
        <v>2.93</v>
      </c>
      <c r="M122" s="121" t="n">
        <v>10.1</v>
      </c>
      <c r="N122" s="128"/>
      <c r="O122" s="128"/>
      <c r="P122" s="243" t="n">
        <f aca="false">K122*L122/100</f>
        <v>0.59089896</v>
      </c>
      <c r="Q122" s="122"/>
      <c r="R122" s="122"/>
      <c r="S122" s="240"/>
      <c r="T122" s="122" t="n">
        <f aca="false">1000*P122/H122</f>
        <v>28.9825417768208</v>
      </c>
      <c r="U122" s="122"/>
      <c r="V122" s="194"/>
      <c r="W122" s="194" t="n">
        <f aca="false">100*T122/(T82+T102+T122)</f>
        <v>88.2986653743071</v>
      </c>
      <c r="X122" s="244" t="n">
        <f aca="false">QUARTILE(W121:W125,1)-(1.5*(QUARTILE(W121:W125,3)-QUARTILE(W121:W125,1)))</f>
        <v>87.8709668871617</v>
      </c>
      <c r="Y122" s="240"/>
      <c r="Z122" s="245"/>
      <c r="AA122" s="245"/>
      <c r="AB122" s="245"/>
      <c r="AC122" s="245"/>
      <c r="AD122" s="240"/>
    </row>
    <row r="123" customFormat="false" ht="12.8" hidden="false" customHeight="false" outlineLevel="0" collapsed="false">
      <c r="B123" s="46"/>
      <c r="C123" s="50" t="s">
        <v>21</v>
      </c>
      <c r="D123" s="64" t="n">
        <v>4</v>
      </c>
      <c r="E123" s="64" t="s">
        <v>108</v>
      </c>
      <c r="F123" s="64" t="s">
        <v>185</v>
      </c>
      <c r="G123" s="64" t="s">
        <v>184</v>
      </c>
      <c r="H123" s="122" t="n">
        <f aca="false">H83</f>
        <v>20.3455</v>
      </c>
      <c r="I123" s="241" t="n">
        <v>24.6861</v>
      </c>
      <c r="J123" s="241" t="n">
        <v>44.8137</v>
      </c>
      <c r="K123" s="242" t="n">
        <f aca="false">J123-I123</f>
        <v>20.1276</v>
      </c>
      <c r="L123" s="121" t="n">
        <v>3.09</v>
      </c>
      <c r="M123" s="121" t="n">
        <v>10.2</v>
      </c>
      <c r="N123" s="128"/>
      <c r="O123" s="128"/>
      <c r="P123" s="243" t="n">
        <f aca="false">K123*L123/100</f>
        <v>0.62194284</v>
      </c>
      <c r="Q123" s="122"/>
      <c r="R123" s="122"/>
      <c r="S123" s="240"/>
      <c r="T123" s="122" t="n">
        <f aca="false">1000*P123/H123</f>
        <v>30.5690614632228</v>
      </c>
      <c r="U123" s="122"/>
      <c r="V123" s="194"/>
      <c r="W123" s="194" t="n">
        <f aca="false">100*T123/(T83+T103+T123)</f>
        <v>88.8442062089837</v>
      </c>
      <c r="X123" s="244" t="n">
        <f aca="false">QUARTILE(W121:W125,3)+(1.5*(QUARTILE(W121:W125,3)-QUARTILE(W121:W125,1)))</f>
        <v>89.7638433866215</v>
      </c>
      <c r="Y123" s="240"/>
      <c r="Z123" s="245"/>
      <c r="AA123" s="245"/>
      <c r="AB123" s="245"/>
      <c r="AC123" s="245"/>
      <c r="AD123" s="240"/>
    </row>
    <row r="124" customFormat="false" ht="12.8" hidden="false" customHeight="false" outlineLevel="0" collapsed="false">
      <c r="B124" s="46"/>
      <c r="C124" s="50" t="s">
        <v>21</v>
      </c>
      <c r="D124" s="64" t="n">
        <v>4</v>
      </c>
      <c r="E124" s="64" t="s">
        <v>111</v>
      </c>
      <c r="F124" s="64" t="s">
        <v>185</v>
      </c>
      <c r="G124" s="64" t="s">
        <v>184</v>
      </c>
      <c r="H124" s="122" t="n">
        <f aca="false">H84</f>
        <v>20.2075</v>
      </c>
      <c r="I124" s="241" t="n">
        <v>25.396</v>
      </c>
      <c r="J124" s="241" t="n">
        <v>45.3923</v>
      </c>
      <c r="K124" s="242" t="n">
        <f aca="false">J124-I124</f>
        <v>19.9963</v>
      </c>
      <c r="L124" s="121" t="n">
        <v>3.01</v>
      </c>
      <c r="M124" s="121" t="n">
        <v>10.2</v>
      </c>
      <c r="N124" s="128"/>
      <c r="O124" s="128"/>
      <c r="P124" s="243" t="n">
        <f aca="false">K124*L124/100</f>
        <v>0.60188863</v>
      </c>
      <c r="Q124" s="122"/>
      <c r="R124" s="122"/>
      <c r="S124" s="240"/>
      <c r="T124" s="122" t="n">
        <f aca="false">1000*P124/H124</f>
        <v>29.785407893109</v>
      </c>
      <c r="U124" s="122"/>
      <c r="V124" s="194"/>
      <c r="W124" s="194" t="n">
        <f aca="false">100*T124/(T84+T104+T124)</f>
        <v>89.0540146993241</v>
      </c>
      <c r="X124" s="246"/>
      <c r="Y124" s="240"/>
      <c r="Z124" s="245"/>
      <c r="AA124" s="245"/>
      <c r="AB124" s="245"/>
      <c r="AC124" s="245"/>
      <c r="AD124" s="240"/>
    </row>
    <row r="125" customFormat="false" ht="12.8" hidden="false" customHeight="false" outlineLevel="0" collapsed="false">
      <c r="B125" s="46"/>
      <c r="C125" s="50" t="s">
        <v>21</v>
      </c>
      <c r="D125" s="64" t="n">
        <v>4</v>
      </c>
      <c r="E125" s="64" t="s">
        <v>114</v>
      </c>
      <c r="F125" s="64" t="s">
        <v>185</v>
      </c>
      <c r="G125" s="255" t="s">
        <v>184</v>
      </c>
      <c r="H125" s="194" t="n">
        <f aca="false">H85</f>
        <v>20.2694</v>
      </c>
      <c r="I125" s="241" t="n">
        <v>25.4262</v>
      </c>
      <c r="J125" s="241" t="n">
        <v>45.4786</v>
      </c>
      <c r="K125" s="242" t="n">
        <f aca="false">J125-I125</f>
        <v>20.0524</v>
      </c>
      <c r="L125" s="121" t="n">
        <v>2.95</v>
      </c>
      <c r="M125" s="121" t="n">
        <v>10.2</v>
      </c>
      <c r="N125" s="128"/>
      <c r="O125" s="128"/>
      <c r="P125" s="243" t="n">
        <f aca="false">K125*L125/100</f>
        <v>0.5915458</v>
      </c>
      <c r="Q125" s="194"/>
      <c r="R125" s="194"/>
      <c r="S125" s="240"/>
      <c r="T125" s="194" t="n">
        <f aca="false">1000*P125/H125</f>
        <v>29.184179107423</v>
      </c>
      <c r="U125" s="194"/>
      <c r="V125" s="194"/>
      <c r="W125" s="194" t="n">
        <f aca="false">100*T125/(T85+T105+T125)</f>
        <v>89.1200416992254</v>
      </c>
      <c r="X125" s="194"/>
      <c r="Y125" s="240"/>
      <c r="Z125" s="245"/>
      <c r="AA125" s="245"/>
      <c r="AB125" s="245"/>
      <c r="AC125" s="245"/>
      <c r="AD125" s="240"/>
    </row>
    <row r="126" customFormat="false" ht="12.8" hidden="false" customHeight="false" outlineLevel="0" collapsed="false">
      <c r="B126" s="46"/>
      <c r="C126" s="96" t="s">
        <v>32</v>
      </c>
      <c r="D126" s="234" t="s">
        <v>158</v>
      </c>
      <c r="E126" s="59" t="s">
        <v>103</v>
      </c>
      <c r="F126" s="59" t="s">
        <v>185</v>
      </c>
      <c r="G126" s="59" t="n">
        <v>0</v>
      </c>
      <c r="H126" s="212" t="n">
        <f aca="false">K126+K146+K166</f>
        <v>20.1646</v>
      </c>
      <c r="I126" s="235" t="n">
        <v>8.9938</v>
      </c>
      <c r="J126" s="235" t="n">
        <v>8.9983</v>
      </c>
      <c r="K126" s="236" t="n">
        <f aca="false">J126-I126</f>
        <v>0.00450000000000017</v>
      </c>
      <c r="L126" s="237" t="n">
        <v>22.21</v>
      </c>
      <c r="M126" s="237" t="n">
        <v>19.6</v>
      </c>
      <c r="N126" s="238" t="n">
        <f aca="false">AVERAGE(M126:M130)</f>
        <v>15.884</v>
      </c>
      <c r="O126" s="238" t="n">
        <f aca="false">STDEV(M126:M130)</f>
        <v>8.2204884283113</v>
      </c>
      <c r="P126" s="239" t="n">
        <f aca="false">K126*L126/100</f>
        <v>0.000999450000000038</v>
      </c>
      <c r="Q126" s="212" t="n">
        <f aca="false">1000*K126/H126</f>
        <v>0.223163365501928</v>
      </c>
      <c r="R126" s="212" t="n">
        <f aca="false">AVERAGE(Q126:Q130)</f>
        <v>0.195530831113134</v>
      </c>
      <c r="S126" s="215" t="n">
        <f aca="false">STDEV(Q126:Q130)</f>
        <v>0.0781496514562164</v>
      </c>
      <c r="T126" s="212" t="n">
        <f aca="false">1000*P126/H126</f>
        <v>0.0495645834779781</v>
      </c>
      <c r="U126" s="212" t="n">
        <f aca="false">AVERAGE(T126:T130)</f>
        <v>0.0524627550556624</v>
      </c>
      <c r="V126" s="212" t="n">
        <f aca="false">STDEV(T126:T130)</f>
        <v>0.0354249209014322</v>
      </c>
      <c r="W126" s="212" t="n">
        <f aca="false">100*T126/(T126+T146+T166)</f>
        <v>0.244681767302299</v>
      </c>
      <c r="X126" s="212" t="n">
        <f aca="false">AVERAGE(W126:W130)</f>
        <v>0.256974585046623</v>
      </c>
      <c r="Y126" s="215" t="n">
        <f aca="false">STDEV(W126:W130)</f>
        <v>0.175107161799174</v>
      </c>
      <c r="Z126" s="213"/>
      <c r="AA126" s="257" t="n">
        <f aca="false">TTEST(W126:W130,W131:W135,2,2)</f>
        <v>0.00206434959235099</v>
      </c>
      <c r="AB126" s="257" t="n">
        <f aca="false">TTEST(W126:W130,W136:W140,2,2)</f>
        <v>0.0401492397798818</v>
      </c>
      <c r="AC126" s="257" t="n">
        <f aca="false">TTEST(W126:W130,W141:W145,2,2)</f>
        <v>0.0344582603938152</v>
      </c>
      <c r="AD126" s="240"/>
    </row>
    <row r="127" customFormat="false" ht="12.8" hidden="false" customHeight="false" outlineLevel="0" collapsed="false">
      <c r="B127" s="46"/>
      <c r="C127" s="50" t="s">
        <v>32</v>
      </c>
      <c r="D127" s="64" t="s">
        <v>158</v>
      </c>
      <c r="E127" s="64" t="s">
        <v>105</v>
      </c>
      <c r="F127" s="64" t="s">
        <v>185</v>
      </c>
      <c r="G127" s="64" t="n">
        <v>0</v>
      </c>
      <c r="H127" s="122" t="n">
        <f aca="false">K127+K147+K167</f>
        <v>19.9709</v>
      </c>
      <c r="I127" s="241" t="n">
        <v>8.7589</v>
      </c>
      <c r="J127" s="241" t="n">
        <v>8.7649</v>
      </c>
      <c r="K127" s="242" t="n">
        <f aca="false">J127-I127</f>
        <v>0.00600000000000023</v>
      </c>
      <c r="L127" s="121" t="n">
        <v>36.79</v>
      </c>
      <c r="M127" s="121" t="n">
        <v>26.85</v>
      </c>
      <c r="N127" s="128"/>
      <c r="O127" s="128"/>
      <c r="P127" s="243" t="n">
        <f aca="false">K127*L127/100</f>
        <v>0.00220740000000008</v>
      </c>
      <c r="Q127" s="122" t="n">
        <f aca="false">1000*K127/H127</f>
        <v>0.300437136032939</v>
      </c>
      <c r="R127" s="122"/>
      <c r="S127" s="240"/>
      <c r="T127" s="122" t="n">
        <f aca="false">1000*P127/H127</f>
        <v>0.110530822346518</v>
      </c>
      <c r="U127" s="122"/>
      <c r="V127" s="194"/>
      <c r="W127" s="258" t="n">
        <f aca="false">100*T127/(T127+T147+T167)</f>
        <v>0.544654837272236</v>
      </c>
      <c r="X127" s="244" t="n">
        <f aca="false">QUARTILE(W126:W130,1)-(1.5*(QUARTILE(W126:W130,3)-QUARTILE(W126:W130,1)))</f>
        <v>0.129667205184227</v>
      </c>
      <c r="Y127" s="240"/>
      <c r="Z127" s="245"/>
      <c r="AA127" s="245"/>
      <c r="AB127" s="245"/>
      <c r="AC127" s="245"/>
      <c r="AD127" s="240"/>
    </row>
    <row r="128" customFormat="false" ht="12.8" hidden="false" customHeight="false" outlineLevel="0" collapsed="false">
      <c r="B128" s="46"/>
      <c r="C128" s="50" t="s">
        <v>32</v>
      </c>
      <c r="D128" s="64" t="s">
        <v>158</v>
      </c>
      <c r="E128" s="64" t="s">
        <v>108</v>
      </c>
      <c r="F128" s="64" t="s">
        <v>185</v>
      </c>
      <c r="G128" s="64" t="n">
        <v>0</v>
      </c>
      <c r="H128" s="122" t="n">
        <f aca="false">K128+K148+K168</f>
        <v>20.0509</v>
      </c>
      <c r="I128" s="241" t="n">
        <v>8.8666</v>
      </c>
      <c r="J128" s="241" t="n">
        <v>8.8694</v>
      </c>
      <c r="K128" s="242" t="n">
        <f aca="false">J128-I128</f>
        <v>0.00280000000000058</v>
      </c>
      <c r="L128" s="121" t="n">
        <v>29.2</v>
      </c>
      <c r="M128" s="121" t="n">
        <v>9.9</v>
      </c>
      <c r="N128" s="128"/>
      <c r="O128" s="128"/>
      <c r="P128" s="243" t="n">
        <f aca="false">K128*L128/100</f>
        <v>0.000817600000000169</v>
      </c>
      <c r="Q128" s="122" t="n">
        <f aca="false">1000*K128/H128</f>
        <v>0.139644604481623</v>
      </c>
      <c r="R128" s="122"/>
      <c r="S128" s="240"/>
      <c r="T128" s="122" t="n">
        <f aca="false">1000*P128/H128</f>
        <v>0.040776224508634</v>
      </c>
      <c r="U128" s="122"/>
      <c r="V128" s="194"/>
      <c r="W128" s="194" t="n">
        <f aca="false">100*T128/(T128+T148+T168)</f>
        <v>0.198675942455071</v>
      </c>
      <c r="X128" s="244" t="n">
        <f aca="false">QUARTILE(W126:W130,3)+(1.5*(QUARTILE(W126:W130,3)-QUARTILE(W126:W130,1)))</f>
        <v>0.313690504573143</v>
      </c>
      <c r="Y128" s="240"/>
      <c r="Z128" s="245"/>
      <c r="AA128" s="245"/>
      <c r="AB128" s="245"/>
      <c r="AC128" s="245"/>
      <c r="AD128" s="240"/>
    </row>
    <row r="129" customFormat="false" ht="12.8" hidden="false" customHeight="false" outlineLevel="0" collapsed="false">
      <c r="B129" s="46"/>
      <c r="C129" s="50" t="s">
        <v>32</v>
      </c>
      <c r="D129" s="64" t="s">
        <v>158</v>
      </c>
      <c r="E129" s="64" t="s">
        <v>111</v>
      </c>
      <c r="F129" s="64" t="s">
        <v>185</v>
      </c>
      <c r="G129" s="64" t="n">
        <v>0</v>
      </c>
      <c r="H129" s="122" t="n">
        <f aca="false">K129+K149+K169</f>
        <v>20.0479</v>
      </c>
      <c r="I129" s="241" t="n">
        <v>9.0277</v>
      </c>
      <c r="J129" s="241" t="n">
        <v>9.0297</v>
      </c>
      <c r="K129" s="242" t="n">
        <f aca="false">J129-I129</f>
        <v>0.00200000000000067</v>
      </c>
      <c r="L129" s="121" t="n">
        <v>14.06</v>
      </c>
      <c r="M129" s="121" t="n">
        <v>5.94</v>
      </c>
      <c r="N129" s="128"/>
      <c r="O129" s="128"/>
      <c r="P129" s="243" t="n">
        <f aca="false">K129*L129/100</f>
        <v>0.000281200000000094</v>
      </c>
      <c r="Q129" s="122" t="n">
        <f aca="false">1000*K129/H129</f>
        <v>0.0997610722320377</v>
      </c>
      <c r="R129" s="122"/>
      <c r="S129" s="240"/>
      <c r="T129" s="122" t="n">
        <f aca="false">1000*P129/H129</f>
        <v>0.0140264067558245</v>
      </c>
      <c r="U129" s="122"/>
      <c r="V129" s="194"/>
      <c r="W129" s="258" t="n">
        <f aca="false">100*T129/(T129+T149+T169)</f>
        <v>0.0685035725880113</v>
      </c>
      <c r="X129" s="246"/>
      <c r="Y129" s="240"/>
      <c r="Z129" s="245"/>
      <c r="AA129" s="245"/>
      <c r="AB129" s="245"/>
      <c r="AC129" s="245"/>
      <c r="AD129" s="240"/>
    </row>
    <row r="130" customFormat="false" ht="12.8" hidden="false" customHeight="false" outlineLevel="0" collapsed="false">
      <c r="B130" s="46"/>
      <c r="C130" s="50" t="s">
        <v>32</v>
      </c>
      <c r="D130" s="64" t="s">
        <v>158</v>
      </c>
      <c r="E130" s="64" t="s">
        <v>114</v>
      </c>
      <c r="F130" s="64" t="s">
        <v>185</v>
      </c>
      <c r="G130" s="64" t="n">
        <v>0</v>
      </c>
      <c r="H130" s="122" t="n">
        <f aca="false">K130+K150+K170</f>
        <v>20.0328</v>
      </c>
      <c r="I130" s="241" t="n">
        <v>9.0401</v>
      </c>
      <c r="J130" s="241" t="n">
        <v>9.0444</v>
      </c>
      <c r="K130" s="242" t="n">
        <f aca="false">J130-I130</f>
        <v>0.00429999999999886</v>
      </c>
      <c r="L130" s="121" t="n">
        <v>22.09</v>
      </c>
      <c r="M130" s="121" t="n">
        <v>17.13</v>
      </c>
      <c r="N130" s="128"/>
      <c r="O130" s="128"/>
      <c r="P130" s="243" t="n">
        <f aca="false">K130*L130/100</f>
        <v>0.000949869999999748</v>
      </c>
      <c r="Q130" s="122" t="n">
        <f aca="false">1000*K130/H130</f>
        <v>0.214647977317143</v>
      </c>
      <c r="R130" s="122"/>
      <c r="S130" s="240"/>
      <c r="T130" s="122" t="n">
        <f aca="false">1000*P130/H130</f>
        <v>0.0474157381893569</v>
      </c>
      <c r="U130" s="122"/>
      <c r="V130" s="194"/>
      <c r="W130" s="194" t="n">
        <f aca="false">100*T130/(T130+T150+T170)</f>
        <v>0.228356805615497</v>
      </c>
      <c r="X130" s="122"/>
      <c r="Y130" s="240"/>
      <c r="Z130" s="245"/>
      <c r="AA130" s="245"/>
      <c r="AB130" s="245"/>
      <c r="AC130" s="245"/>
      <c r="AD130" s="240"/>
    </row>
    <row r="131" customFormat="false" ht="12.8" hidden="false" customHeight="false" outlineLevel="0" collapsed="false">
      <c r="B131" s="46"/>
      <c r="C131" s="176" t="s">
        <v>32</v>
      </c>
      <c r="D131" s="247" t="n">
        <v>0</v>
      </c>
      <c r="E131" s="247" t="s">
        <v>103</v>
      </c>
      <c r="F131" s="247" t="s">
        <v>185</v>
      </c>
      <c r="G131" s="247" t="n">
        <v>0</v>
      </c>
      <c r="H131" s="181" t="n">
        <f aca="false">K131+K151+K171</f>
        <v>18.5471</v>
      </c>
      <c r="I131" s="248" t="n">
        <v>5.3091</v>
      </c>
      <c r="J131" s="248" t="n">
        <v>5.3366</v>
      </c>
      <c r="K131" s="249" t="n">
        <f aca="false">J131-I131</f>
        <v>0.0274999999999999</v>
      </c>
      <c r="L131" s="179" t="n">
        <v>36.42</v>
      </c>
      <c r="M131" s="179" t="n">
        <v>31.69</v>
      </c>
      <c r="N131" s="250" t="n">
        <f aca="false">AVERAGE(M131:M135)</f>
        <v>23.122</v>
      </c>
      <c r="O131" s="250" t="n">
        <f aca="false">STDEV(M131:M135)</f>
        <v>5.81905662457413</v>
      </c>
      <c r="P131" s="251" t="n">
        <f aca="false">K131*L131/100</f>
        <v>0.0100154999999999</v>
      </c>
      <c r="Q131" s="181" t="n">
        <f aca="false">1000*K131/H131</f>
        <v>1.48271158294288</v>
      </c>
      <c r="R131" s="181" t="n">
        <f aca="false">AVERAGE(Q131:Q135)</f>
        <v>1.07027582942629</v>
      </c>
      <c r="S131" s="252" t="n">
        <f aca="false">STDEV(Q131:Q135)</f>
        <v>0.348541309864077</v>
      </c>
      <c r="T131" s="181" t="n">
        <f aca="false">1000*P131/H131</f>
        <v>0.540003558507796</v>
      </c>
      <c r="U131" s="181" t="n">
        <f aca="false">AVERAGE(T131:T135)</f>
        <v>0.353211515554</v>
      </c>
      <c r="V131" s="181" t="n">
        <f aca="false">STDEV(T131:T135)</f>
        <v>0.135824420826812</v>
      </c>
      <c r="W131" s="181" t="n">
        <f aca="false">100*T131/(T131+T151+T171)</f>
        <v>2.83785120870274</v>
      </c>
      <c r="X131" s="181" t="n">
        <f aca="false">AVERAGE(W131:W135)</f>
        <v>1.7861680860512</v>
      </c>
      <c r="Y131" s="252" t="n">
        <f aca="false">STDEV(W131:W135)</f>
        <v>0.743445234776828</v>
      </c>
      <c r="Z131" s="253"/>
      <c r="AA131" s="253"/>
      <c r="AB131" s="253"/>
      <c r="AC131" s="253"/>
      <c r="AD131" s="240"/>
    </row>
    <row r="132" customFormat="false" ht="12.8" hidden="false" customHeight="false" outlineLevel="0" collapsed="false">
      <c r="B132" s="46"/>
      <c r="C132" s="50" t="s">
        <v>32</v>
      </c>
      <c r="D132" s="64" t="n">
        <v>0</v>
      </c>
      <c r="E132" s="64" t="s">
        <v>105</v>
      </c>
      <c r="F132" s="64" t="s">
        <v>185</v>
      </c>
      <c r="G132" s="64" t="n">
        <v>0</v>
      </c>
      <c r="H132" s="122" t="n">
        <f aca="false">K132+K152+K172</f>
        <v>19.7731</v>
      </c>
      <c r="I132" s="241" t="n">
        <v>5.3153</v>
      </c>
      <c r="J132" s="241" t="n">
        <v>5.3315</v>
      </c>
      <c r="K132" s="242" t="n">
        <f aca="false">J132-I132</f>
        <v>0.0162000000000004</v>
      </c>
      <c r="L132" s="121" t="n">
        <v>33.97</v>
      </c>
      <c r="M132" s="121" t="n">
        <v>24.26</v>
      </c>
      <c r="N132" s="128"/>
      <c r="O132" s="128"/>
      <c r="P132" s="243" t="n">
        <f aca="false">K132*L132/100</f>
        <v>0.00550314000000015</v>
      </c>
      <c r="Q132" s="122" t="n">
        <f aca="false">1000*K132/H132</f>
        <v>0.819294900647872</v>
      </c>
      <c r="R132" s="122"/>
      <c r="S132" s="240"/>
      <c r="T132" s="122" t="n">
        <f aca="false">1000*P132/H132</f>
        <v>0.278314477750082</v>
      </c>
      <c r="U132" s="122"/>
      <c r="V132" s="194"/>
      <c r="W132" s="194" t="n">
        <f aca="false">100*T132/(T132+T152+T172)</f>
        <v>1.33071932508836</v>
      </c>
      <c r="X132" s="244" t="n">
        <f aca="false">QUARTILE(W131:W135,1)-(1.5*(QUARTILE(W131:W135,3)-QUARTILE(W131:W135,1)))</f>
        <v>0.363400780464814</v>
      </c>
      <c r="Y132" s="240"/>
      <c r="Z132" s="245"/>
      <c r="AA132" s="245"/>
      <c r="AB132" s="245"/>
      <c r="AC132" s="245"/>
      <c r="AD132" s="240"/>
    </row>
    <row r="133" customFormat="false" ht="12.8" hidden="false" customHeight="false" outlineLevel="0" collapsed="false">
      <c r="B133" s="46"/>
      <c r="C133" s="50" t="s">
        <v>32</v>
      </c>
      <c r="D133" s="64" t="n">
        <v>0</v>
      </c>
      <c r="E133" s="64" t="s">
        <v>108</v>
      </c>
      <c r="F133" s="64" t="s">
        <v>185</v>
      </c>
      <c r="G133" s="64" t="n">
        <v>0</v>
      </c>
      <c r="H133" s="122" t="n">
        <f aca="false">K133+K153+K173</f>
        <v>19.9552</v>
      </c>
      <c r="I133" s="241" t="n">
        <v>5.3162</v>
      </c>
      <c r="J133" s="241" t="n">
        <v>5.343</v>
      </c>
      <c r="K133" s="242" t="n">
        <f aca="false">J133-I133</f>
        <v>0.0267999999999997</v>
      </c>
      <c r="L133" s="121" t="n">
        <v>29.31</v>
      </c>
      <c r="M133" s="121" t="n">
        <v>23.72</v>
      </c>
      <c r="N133" s="128"/>
      <c r="O133" s="128"/>
      <c r="P133" s="243" t="n">
        <f aca="false">K133*L133/100</f>
        <v>0.00785507999999992</v>
      </c>
      <c r="Q133" s="122" t="n">
        <f aca="false">1000*K133/H133</f>
        <v>1.34300833867863</v>
      </c>
      <c r="R133" s="122"/>
      <c r="S133" s="240"/>
      <c r="T133" s="122" t="n">
        <f aca="false">1000*P133/H133</f>
        <v>0.393635744066705</v>
      </c>
      <c r="U133" s="122"/>
      <c r="V133" s="194"/>
      <c r="W133" s="194" t="n">
        <f aca="false">100*T133/(T133+T153+T173)</f>
        <v>1.91909903578897</v>
      </c>
      <c r="X133" s="244" t="n">
        <f aca="false">QUARTILE(W131:W135,3)+(1.5*(QUARTILE(W131:W135,3)-QUARTILE(W131:W135,1)))</f>
        <v>2.94291689946093</v>
      </c>
      <c r="Y133" s="240"/>
      <c r="Z133" s="245"/>
      <c r="AA133" s="245"/>
      <c r="AB133" s="245"/>
      <c r="AC133" s="245"/>
      <c r="AD133" s="240"/>
    </row>
    <row r="134" customFormat="false" ht="12.8" hidden="false" customHeight="false" outlineLevel="0" collapsed="false">
      <c r="B134" s="46"/>
      <c r="C134" s="50" t="s">
        <v>32</v>
      </c>
      <c r="D134" s="64" t="n">
        <v>0</v>
      </c>
      <c r="E134" s="64" t="s">
        <v>111</v>
      </c>
      <c r="F134" s="64" t="s">
        <v>185</v>
      </c>
      <c r="G134" s="64" t="n">
        <v>0</v>
      </c>
      <c r="H134" s="122" t="n">
        <f aca="false">K134+K154+K174</f>
        <v>20.6926</v>
      </c>
      <c r="I134" s="241" t="n">
        <v>5.2599</v>
      </c>
      <c r="J134" s="241" t="n">
        <v>5.2818</v>
      </c>
      <c r="K134" s="242" t="n">
        <f aca="false">J134-I134</f>
        <v>0.0218999999999996</v>
      </c>
      <c r="L134" s="121" t="n">
        <v>35.64</v>
      </c>
      <c r="M134" s="121" t="n">
        <v>16.06</v>
      </c>
      <c r="N134" s="128"/>
      <c r="O134" s="128"/>
      <c r="P134" s="243" t="n">
        <f aca="false">K134*L134/100</f>
        <v>0.00780515999999985</v>
      </c>
      <c r="Q134" s="122" t="n">
        <f aca="false">1000*K134/H134</f>
        <v>1.05834936160751</v>
      </c>
      <c r="R134" s="122"/>
      <c r="S134" s="240"/>
      <c r="T134" s="122" t="n">
        <f aca="false">1000*P134/H134</f>
        <v>0.377195712476917</v>
      </c>
      <c r="U134" s="122"/>
      <c r="V134" s="194"/>
      <c r="W134" s="194" t="n">
        <f aca="false">100*T134/(T134+T154+T174)</f>
        <v>1.97559835483739</v>
      </c>
      <c r="X134" s="246"/>
      <c r="Y134" s="240"/>
      <c r="Z134" s="245"/>
      <c r="AA134" s="245"/>
      <c r="AB134" s="245"/>
      <c r="AC134" s="245"/>
      <c r="AD134" s="240"/>
    </row>
    <row r="135" customFormat="false" ht="12.8" hidden="false" customHeight="false" outlineLevel="0" collapsed="false">
      <c r="B135" s="46"/>
      <c r="C135" s="50" t="s">
        <v>32</v>
      </c>
      <c r="D135" s="64" t="n">
        <v>0</v>
      </c>
      <c r="E135" s="64" t="s">
        <v>114</v>
      </c>
      <c r="F135" s="64" t="s">
        <v>185</v>
      </c>
      <c r="G135" s="64" t="n">
        <v>0</v>
      </c>
      <c r="H135" s="122" t="n">
        <f aca="false">K135+K155+K175</f>
        <v>20.3699</v>
      </c>
      <c r="I135" s="241" t="n">
        <v>5.3658</v>
      </c>
      <c r="J135" s="241" t="n">
        <v>5.379</v>
      </c>
      <c r="K135" s="242" t="n">
        <f aca="false">J135-I135</f>
        <v>0.0131999999999994</v>
      </c>
      <c r="L135" s="121" t="n">
        <v>27.3</v>
      </c>
      <c r="M135" s="121" t="n">
        <v>19.88</v>
      </c>
      <c r="N135" s="128"/>
      <c r="O135" s="128"/>
      <c r="P135" s="243" t="n">
        <f aca="false">K135*L135/100</f>
        <v>0.00360359999999985</v>
      </c>
      <c r="Q135" s="122" t="n">
        <f aca="false">1000*K135/H135</f>
        <v>0.648014963254578</v>
      </c>
      <c r="R135" s="122"/>
      <c r="S135" s="240"/>
      <c r="T135" s="122" t="n">
        <f aca="false">1000*P135/H135</f>
        <v>0.1769080849685</v>
      </c>
      <c r="U135" s="122"/>
      <c r="V135" s="194"/>
      <c r="W135" s="194" t="n">
        <f aca="false">100*T135/(T135+T155+T175)</f>
        <v>0.867572505838551</v>
      </c>
      <c r="X135" s="122"/>
      <c r="Y135" s="240"/>
      <c r="Z135" s="245"/>
      <c r="AA135" s="245"/>
      <c r="AB135" s="245"/>
      <c r="AC135" s="245"/>
      <c r="AD135" s="240"/>
    </row>
    <row r="136" customFormat="false" ht="12.8" hidden="false" customHeight="false" outlineLevel="0" collapsed="false">
      <c r="B136" s="46"/>
      <c r="C136" s="176" t="s">
        <v>32</v>
      </c>
      <c r="D136" s="247" t="n">
        <v>1</v>
      </c>
      <c r="E136" s="247" t="s">
        <v>103</v>
      </c>
      <c r="F136" s="247" t="s">
        <v>185</v>
      </c>
      <c r="G136" s="247" t="n">
        <v>0</v>
      </c>
      <c r="H136" s="181" t="n">
        <f aca="false">K136+K156+K176</f>
        <v>19.9399</v>
      </c>
      <c r="I136" s="248" t="n">
        <v>5.3101</v>
      </c>
      <c r="J136" s="248" t="n">
        <v>5.3782</v>
      </c>
      <c r="K136" s="249" t="n">
        <f aca="false">J136-I136</f>
        <v>0.0680999999999994</v>
      </c>
      <c r="L136" s="179" t="n">
        <v>30.68</v>
      </c>
      <c r="M136" s="179" t="n">
        <v>28.63</v>
      </c>
      <c r="N136" s="250" t="n">
        <f aca="false">AVERAGE(M136:M140)</f>
        <v>18.788</v>
      </c>
      <c r="O136" s="250" t="n">
        <f aca="false">STDEV(M136:M140)</f>
        <v>7.00857831517919</v>
      </c>
      <c r="P136" s="251" t="n">
        <f aca="false">K136*L136/100</f>
        <v>0.0208930799999998</v>
      </c>
      <c r="Q136" s="181" t="n">
        <f aca="false">1000*K136/H136</f>
        <v>3.41526286490902</v>
      </c>
      <c r="R136" s="181" t="n">
        <f aca="false">AVERAGE(Q136:Q140)</f>
        <v>1.42743498971812</v>
      </c>
      <c r="S136" s="252" t="n">
        <f aca="false">STDEV(Q136:Q140)</f>
        <v>1.14888439021915</v>
      </c>
      <c r="T136" s="181" t="n">
        <f aca="false">1000*P136/H136</f>
        <v>1.04780264695409</v>
      </c>
      <c r="U136" s="181" t="n">
        <f aca="false">AVERAGE(T136:T140)</f>
        <v>0.431754371170557</v>
      </c>
      <c r="V136" s="181" t="n">
        <f aca="false">STDEV(T136:T140)</f>
        <v>0.359028060953332</v>
      </c>
      <c r="W136" s="259" t="n">
        <f aca="false">100*T136/(T136+T156+T176)</f>
        <v>4.74321997180137</v>
      </c>
      <c r="X136" s="181" t="n">
        <f aca="false">AVERAGE(W136:W140)</f>
        <v>2.01986990304377</v>
      </c>
      <c r="Y136" s="252" t="n">
        <f aca="false">STDEV(W136:W140)</f>
        <v>1.60165479023727</v>
      </c>
      <c r="Z136" s="253"/>
      <c r="AA136" s="253"/>
      <c r="AB136" s="253"/>
      <c r="AC136" s="253"/>
      <c r="AD136" s="240"/>
    </row>
    <row r="137" customFormat="false" ht="12.8" hidden="false" customHeight="false" outlineLevel="0" collapsed="false">
      <c r="B137" s="46"/>
      <c r="C137" s="50" t="s">
        <v>32</v>
      </c>
      <c r="D137" s="64" t="n">
        <v>1</v>
      </c>
      <c r="E137" s="64" t="s">
        <v>105</v>
      </c>
      <c r="F137" s="64" t="s">
        <v>185</v>
      </c>
      <c r="G137" s="64" t="n">
        <v>0</v>
      </c>
      <c r="H137" s="122" t="n">
        <f aca="false">K137+K157+K177</f>
        <v>19.8252</v>
      </c>
      <c r="I137" s="241" t="n">
        <v>5.3454</v>
      </c>
      <c r="J137" s="241" t="n">
        <v>5.3683</v>
      </c>
      <c r="K137" s="242" t="n">
        <f aca="false">J137-I137</f>
        <v>0.0228999999999999</v>
      </c>
      <c r="L137" s="121" t="n">
        <v>27.48</v>
      </c>
      <c r="M137" s="121" t="n">
        <v>15.05</v>
      </c>
      <c r="N137" s="128"/>
      <c r="O137" s="128"/>
      <c r="P137" s="243" t="n">
        <f aca="false">K137*L137/100</f>
        <v>0.00629291999999998</v>
      </c>
      <c r="Q137" s="122" t="n">
        <f aca="false">1000*K137/H137</f>
        <v>1.15509553497568</v>
      </c>
      <c r="R137" s="122"/>
      <c r="S137" s="240"/>
      <c r="T137" s="122" t="n">
        <f aca="false">1000*P137/H137</f>
        <v>0.317420253011318</v>
      </c>
      <c r="U137" s="122"/>
      <c r="V137" s="194"/>
      <c r="W137" s="194" t="n">
        <f aca="false">100*T137/(T137+T157+T177)</f>
        <v>1.50883362225638</v>
      </c>
      <c r="X137" s="244" t="n">
        <f aca="false">QUARTILE(W136:W140,1)-(1.5*(QUARTILE(W136:W140,3)-QUARTILE(W136:W140,1)))</f>
        <v>-0.690824636118717</v>
      </c>
      <c r="Y137" s="240"/>
      <c r="Z137" s="245"/>
      <c r="AA137" s="245"/>
      <c r="AB137" s="245"/>
      <c r="AC137" s="245"/>
      <c r="AD137" s="240"/>
    </row>
    <row r="138" customFormat="false" ht="12.8" hidden="false" customHeight="false" outlineLevel="0" collapsed="false">
      <c r="B138" s="46"/>
      <c r="C138" s="50" t="s">
        <v>32</v>
      </c>
      <c r="D138" s="64" t="n">
        <v>1</v>
      </c>
      <c r="E138" s="64" t="s">
        <v>108</v>
      </c>
      <c r="F138" s="64" t="s">
        <v>185</v>
      </c>
      <c r="G138" s="64" t="n">
        <v>0</v>
      </c>
      <c r="H138" s="122" t="n">
        <f aca="false">K138+K158+K178</f>
        <v>19.9435</v>
      </c>
      <c r="I138" s="241" t="n">
        <v>5.2939</v>
      </c>
      <c r="J138" s="241" t="n">
        <v>5.319</v>
      </c>
      <c r="K138" s="242" t="n">
        <f aca="false">J138-I138</f>
        <v>0.0251000000000001</v>
      </c>
      <c r="L138" s="121" t="n">
        <v>33.73</v>
      </c>
      <c r="M138" s="121" t="n">
        <v>23.74</v>
      </c>
      <c r="N138" s="128"/>
      <c r="O138" s="128"/>
      <c r="P138" s="243" t="n">
        <f aca="false">K138*L138/100</f>
        <v>0.00846623000000004</v>
      </c>
      <c r="Q138" s="122" t="n">
        <f aca="false">1000*K138/H138</f>
        <v>1.25855541905885</v>
      </c>
      <c r="R138" s="122"/>
      <c r="S138" s="240"/>
      <c r="T138" s="122" t="n">
        <f aca="false">1000*P138/H138</f>
        <v>0.424510742848549</v>
      </c>
      <c r="U138" s="122"/>
      <c r="V138" s="194"/>
      <c r="W138" s="194" t="n">
        <f aca="false">100*T138/(T138+T158+T178)</f>
        <v>2.07356995831935</v>
      </c>
      <c r="X138" s="244" t="n">
        <f aca="false">QUARTILE(W136:W140,3)+(1.5*(QUARTILE(W136:W140,3)-QUARTILE(W136:W140,1)))</f>
        <v>3.73220671498219</v>
      </c>
      <c r="Y138" s="240"/>
      <c r="Z138" s="245"/>
      <c r="AA138" s="245"/>
      <c r="AB138" s="245"/>
      <c r="AC138" s="245"/>
      <c r="AD138" s="240"/>
    </row>
    <row r="139" customFormat="false" ht="12.8" hidden="false" customHeight="false" outlineLevel="0" collapsed="false">
      <c r="B139" s="46"/>
      <c r="C139" s="50" t="s">
        <v>32</v>
      </c>
      <c r="D139" s="64" t="n">
        <v>1</v>
      </c>
      <c r="E139" s="64" t="s">
        <v>111</v>
      </c>
      <c r="F139" s="64" t="s">
        <v>185</v>
      </c>
      <c r="G139" s="64" t="n">
        <v>0</v>
      </c>
      <c r="H139" s="122" t="n">
        <f aca="false">K139+K159+K179</f>
        <v>19.8512</v>
      </c>
      <c r="I139" s="241" t="n">
        <v>5.2874</v>
      </c>
      <c r="J139" s="241" t="n">
        <v>5.3028</v>
      </c>
      <c r="K139" s="242" t="n">
        <f aca="false">J139-I139</f>
        <v>0.0154000000000005</v>
      </c>
      <c r="L139" s="121" t="n">
        <v>21.35</v>
      </c>
      <c r="M139" s="121" t="n">
        <v>13.3</v>
      </c>
      <c r="N139" s="128"/>
      <c r="O139" s="128"/>
      <c r="P139" s="243" t="n">
        <f aca="false">K139*L139/100</f>
        <v>0.00328790000000011</v>
      </c>
      <c r="Q139" s="122" t="n">
        <f aca="false">1000*K139/H139</f>
        <v>0.775771741758711</v>
      </c>
      <c r="R139" s="122"/>
      <c r="S139" s="240"/>
      <c r="T139" s="122" t="n">
        <f aca="false">1000*P139/H139</f>
        <v>0.165627266865485</v>
      </c>
      <c r="U139" s="122"/>
      <c r="V139" s="194"/>
      <c r="W139" s="194" t="n">
        <f aca="false">100*T139/(T139+T159+T179)</f>
        <v>0.805913842297648</v>
      </c>
      <c r="X139" s="246"/>
      <c r="Y139" s="240"/>
      <c r="Z139" s="245"/>
      <c r="AA139" s="245"/>
      <c r="AB139" s="245"/>
      <c r="AC139" s="245"/>
      <c r="AD139" s="240"/>
    </row>
    <row r="140" customFormat="false" ht="12.8" hidden="false" customHeight="false" outlineLevel="0" collapsed="false">
      <c r="B140" s="46"/>
      <c r="C140" s="50" t="s">
        <v>32</v>
      </c>
      <c r="D140" s="64" t="n">
        <v>1</v>
      </c>
      <c r="E140" s="64" t="s">
        <v>114</v>
      </c>
      <c r="F140" s="64" t="s">
        <v>185</v>
      </c>
      <c r="G140" s="255" t="n">
        <v>0</v>
      </c>
      <c r="H140" s="194" t="n">
        <f aca="false">K140+K160+K180</f>
        <v>19.9065</v>
      </c>
      <c r="I140" s="241" t="n">
        <v>5.3219</v>
      </c>
      <c r="J140" s="241" t="n">
        <v>5.3325</v>
      </c>
      <c r="K140" s="242" t="n">
        <f aca="false">J140-I140</f>
        <v>0.0105999999999993</v>
      </c>
      <c r="L140" s="121" t="n">
        <v>38.2</v>
      </c>
      <c r="M140" s="121" t="n">
        <v>13.22</v>
      </c>
      <c r="N140" s="128"/>
      <c r="O140" s="128"/>
      <c r="P140" s="243" t="n">
        <f aca="false">K140*L140/100</f>
        <v>0.00404919999999972</v>
      </c>
      <c r="Q140" s="194" t="n">
        <f aca="false">1000*K140/H140</f>
        <v>0.532489387888342</v>
      </c>
      <c r="R140" s="194"/>
      <c r="S140" s="240"/>
      <c r="T140" s="194" t="n">
        <f aca="false">1000*P140/H140</f>
        <v>0.203410946173347</v>
      </c>
      <c r="U140" s="194"/>
      <c r="V140" s="194"/>
      <c r="W140" s="194" t="n">
        <f aca="false">100*T140/(T140+T160+T180)</f>
        <v>0.967812120544123</v>
      </c>
      <c r="X140" s="194"/>
      <c r="Y140" s="240"/>
      <c r="Z140" s="245"/>
      <c r="AA140" s="245"/>
      <c r="AB140" s="245"/>
      <c r="AC140" s="245"/>
      <c r="AD140" s="240"/>
    </row>
    <row r="141" customFormat="false" ht="12.8" hidden="false" customHeight="false" outlineLevel="0" collapsed="false">
      <c r="B141" s="46"/>
      <c r="C141" s="176" t="s">
        <v>32</v>
      </c>
      <c r="D141" s="247" t="n">
        <v>4</v>
      </c>
      <c r="E141" s="247" t="s">
        <v>103</v>
      </c>
      <c r="F141" s="247" t="s">
        <v>185</v>
      </c>
      <c r="G141" s="247" t="n">
        <v>0</v>
      </c>
      <c r="H141" s="181" t="n">
        <f aca="false">K141+K161+K181</f>
        <v>19.8704</v>
      </c>
      <c r="I141" s="248" t="n">
        <v>5.2718</v>
      </c>
      <c r="J141" s="248" t="n">
        <v>5.2779</v>
      </c>
      <c r="K141" s="249" t="n">
        <f aca="false">J141-I141</f>
        <v>0.00609999999999999</v>
      </c>
      <c r="L141" s="179" t="n">
        <v>29.62</v>
      </c>
      <c r="M141" s="179" t="n">
        <v>16.58</v>
      </c>
      <c r="N141" s="250" t="n">
        <f aca="false">AVERAGE(M141:M145)</f>
        <v>16.344</v>
      </c>
      <c r="O141" s="250" t="n">
        <f aca="false">STDEV(M141:M145)</f>
        <v>2.84630989177215</v>
      </c>
      <c r="P141" s="251" t="n">
        <f aca="false">K141*L141/100</f>
        <v>0.00180682</v>
      </c>
      <c r="Q141" s="181" t="n">
        <f aca="false">1000*K141/H141</f>
        <v>0.306989290603108</v>
      </c>
      <c r="R141" s="181" t="n">
        <f aca="false">AVERAGE(Q141:Q145)</f>
        <v>0.668223748495305</v>
      </c>
      <c r="S141" s="252" t="n">
        <f aca="false">STDEV(Q141:Q145)</f>
        <v>0.413868131787171</v>
      </c>
      <c r="T141" s="181" t="n">
        <f aca="false">1000*P141/H141</f>
        <v>0.0909302278766405</v>
      </c>
      <c r="U141" s="181" t="n">
        <f aca="false">AVERAGE(T141:T145)</f>
        <v>0.18086622979638</v>
      </c>
      <c r="V141" s="181" t="n">
        <f aca="false">STDEV(T141:T145)</f>
        <v>0.106479840859801</v>
      </c>
      <c r="W141" s="181" t="n">
        <f aca="false">100*T141/(T141+T161+T181)</f>
        <v>0.457712696555826</v>
      </c>
      <c r="X141" s="181" t="n">
        <f aca="false">AVERAGE(W141:W145)</f>
        <v>0.885412037687474</v>
      </c>
      <c r="Y141" s="252" t="n">
        <f aca="false">STDEV(W141:W145)</f>
        <v>0.523721650582256</v>
      </c>
      <c r="Z141" s="253"/>
      <c r="AA141" s="253"/>
      <c r="AB141" s="253"/>
      <c r="AC141" s="253"/>
      <c r="AD141" s="240"/>
    </row>
    <row r="142" customFormat="false" ht="12.8" hidden="false" customHeight="false" outlineLevel="0" collapsed="false">
      <c r="B142" s="46"/>
      <c r="C142" s="50" t="s">
        <v>32</v>
      </c>
      <c r="D142" s="64" t="n">
        <v>4</v>
      </c>
      <c r="E142" s="64" t="s">
        <v>105</v>
      </c>
      <c r="F142" s="64" t="s">
        <v>185</v>
      </c>
      <c r="G142" s="64" t="n">
        <v>0</v>
      </c>
      <c r="H142" s="122" t="n">
        <f aca="false">K142+K162+K182</f>
        <v>19.7438</v>
      </c>
      <c r="I142" s="241" t="n">
        <v>5.3265</v>
      </c>
      <c r="J142" s="241" t="n">
        <v>5.3372</v>
      </c>
      <c r="K142" s="242" t="n">
        <f aca="false">J142-I142</f>
        <v>0.0106999999999999</v>
      </c>
      <c r="L142" s="121" t="n">
        <v>23.58</v>
      </c>
      <c r="M142" s="121" t="n">
        <v>18.53</v>
      </c>
      <c r="N142" s="128"/>
      <c r="O142" s="128"/>
      <c r="P142" s="243" t="n">
        <f aca="false">K142*L142/100</f>
        <v>0.00252305999999998</v>
      </c>
      <c r="Q142" s="122" t="n">
        <f aca="false">1000*K142/H142</f>
        <v>0.541942280614671</v>
      </c>
      <c r="R142" s="122"/>
      <c r="S142" s="240"/>
      <c r="T142" s="122" t="n">
        <f aca="false">1000*P142/H142</f>
        <v>0.127789989768939</v>
      </c>
      <c r="U142" s="122"/>
      <c r="V142" s="194"/>
      <c r="W142" s="194" t="n">
        <f aca="false">100*T142/(T142+T162+T182)</f>
        <v>0.618787987234284</v>
      </c>
      <c r="X142" s="244" t="n">
        <f aca="false">QUARTILE(W141:W145,1)-(1.5*(QUARTILE(W141:W145,3)-QUARTILE(W141:W145,1)))</f>
        <v>-0.507486348553008</v>
      </c>
      <c r="Y142" s="240"/>
      <c r="Z142" s="245"/>
      <c r="AA142" s="245"/>
      <c r="AB142" s="245"/>
      <c r="AC142" s="245"/>
      <c r="AD142" s="240"/>
    </row>
    <row r="143" customFormat="false" ht="12.8" hidden="false" customHeight="false" outlineLevel="0" collapsed="false">
      <c r="B143" s="46"/>
      <c r="C143" s="50" t="s">
        <v>32</v>
      </c>
      <c r="D143" s="64" t="n">
        <v>4</v>
      </c>
      <c r="E143" s="64" t="s">
        <v>108</v>
      </c>
      <c r="F143" s="64" t="s">
        <v>185</v>
      </c>
      <c r="G143" s="64" t="n">
        <v>0</v>
      </c>
      <c r="H143" s="122" t="n">
        <f aca="false">K143+K163+K183</f>
        <v>20.0086</v>
      </c>
      <c r="I143" s="241" t="n">
        <v>5.3099</v>
      </c>
      <c r="J143" s="241" t="n">
        <v>5.3316</v>
      </c>
      <c r="K143" s="242" t="n">
        <f aca="false">J143-I143</f>
        <v>0.0217000000000001</v>
      </c>
      <c r="L143" s="121" t="n">
        <v>22.34</v>
      </c>
      <c r="M143" s="121" t="n">
        <v>14.73</v>
      </c>
      <c r="N143" s="128"/>
      <c r="O143" s="128"/>
      <c r="P143" s="243" t="n">
        <f aca="false">K143*L143/100</f>
        <v>0.00484778000000001</v>
      </c>
      <c r="Q143" s="122" t="n">
        <f aca="false">1000*K143/H143</f>
        <v>1.08453365053027</v>
      </c>
      <c r="R143" s="122"/>
      <c r="S143" s="240"/>
      <c r="T143" s="122" t="n">
        <f aca="false">1000*P143/H143</f>
        <v>0.242284817528463</v>
      </c>
      <c r="U143" s="122"/>
      <c r="V143" s="194"/>
      <c r="W143" s="194" t="n">
        <f aca="false">100*T143/(T143+T163+T183)</f>
        <v>1.17872946454563</v>
      </c>
      <c r="X143" s="244" t="n">
        <f aca="false">QUARTILE(W141:W145,3)+(1.5*(QUARTILE(W141:W145,3)-QUARTILE(W141:W145,1)))</f>
        <v>2.19045895240481</v>
      </c>
      <c r="Y143" s="240"/>
      <c r="Z143" s="245"/>
      <c r="AA143" s="245"/>
      <c r="AB143" s="245"/>
      <c r="AC143" s="245"/>
      <c r="AD143" s="240"/>
    </row>
    <row r="144" customFormat="false" ht="12.8" hidden="false" customHeight="false" outlineLevel="0" collapsed="false">
      <c r="B144" s="46"/>
      <c r="C144" s="50" t="s">
        <v>32</v>
      </c>
      <c r="D144" s="64" t="n">
        <v>4</v>
      </c>
      <c r="E144" s="64" t="s">
        <v>111</v>
      </c>
      <c r="F144" s="64" t="s">
        <v>185</v>
      </c>
      <c r="G144" s="64" t="n">
        <v>0</v>
      </c>
      <c r="H144" s="122" t="n">
        <f aca="false">K144+K164+K184</f>
        <v>19.7927</v>
      </c>
      <c r="I144" s="241" t="n">
        <v>5.327</v>
      </c>
      <c r="J144" s="241" t="n">
        <v>5.3325</v>
      </c>
      <c r="K144" s="242" t="n">
        <f aca="false">J144-I144</f>
        <v>0.00549999999999962</v>
      </c>
      <c r="L144" s="121" t="n">
        <v>37.69</v>
      </c>
      <c r="M144" s="121" t="n">
        <v>12.43</v>
      </c>
      <c r="N144" s="128"/>
      <c r="O144" s="128"/>
      <c r="P144" s="243" t="n">
        <f aca="false">K144*L144/100</f>
        <v>0.00207294999999986</v>
      </c>
      <c r="Q144" s="122" t="n">
        <f aca="false">1000*K144/H144</f>
        <v>0.2778802285691</v>
      </c>
      <c r="R144" s="122"/>
      <c r="S144" s="240"/>
      <c r="T144" s="122" t="n">
        <f aca="false">1000*P144/H144</f>
        <v>0.104733058147694</v>
      </c>
      <c r="U144" s="122"/>
      <c r="V144" s="194"/>
      <c r="W144" s="194" t="n">
        <f aca="false">100*T144/(T144+T164+T184)</f>
        <v>0.504243139306172</v>
      </c>
      <c r="X144" s="246"/>
      <c r="Y144" s="240"/>
      <c r="Z144" s="245"/>
      <c r="AA144" s="245"/>
      <c r="AB144" s="245"/>
      <c r="AC144" s="245"/>
      <c r="AD144" s="240"/>
    </row>
    <row r="145" customFormat="false" ht="12.8" hidden="false" customHeight="false" outlineLevel="0" collapsed="false">
      <c r="B145" s="46"/>
      <c r="C145" s="50" t="s">
        <v>32</v>
      </c>
      <c r="D145" s="64" t="n">
        <v>4</v>
      </c>
      <c r="E145" s="64" t="s">
        <v>114</v>
      </c>
      <c r="F145" s="64" t="s">
        <v>185</v>
      </c>
      <c r="G145" s="255" t="n">
        <v>0</v>
      </c>
      <c r="H145" s="194" t="n">
        <f aca="false">K145+K165+K185</f>
        <v>19.9155</v>
      </c>
      <c r="I145" s="241" t="n">
        <v>5.3011</v>
      </c>
      <c r="J145" s="241" t="n">
        <v>5.3236</v>
      </c>
      <c r="K145" s="242" t="n">
        <f aca="false">J145-I145</f>
        <v>0.0225</v>
      </c>
      <c r="L145" s="121" t="n">
        <v>29.97</v>
      </c>
      <c r="M145" s="121" t="n">
        <v>19.45</v>
      </c>
      <c r="N145" s="128"/>
      <c r="O145" s="128"/>
      <c r="P145" s="243" t="n">
        <f aca="false">K145*L145/100</f>
        <v>0.00674324999999999</v>
      </c>
      <c r="Q145" s="194" t="n">
        <f aca="false">1000*K145/H145</f>
        <v>1.12977329215937</v>
      </c>
      <c r="R145" s="194"/>
      <c r="S145" s="240"/>
      <c r="T145" s="194" t="n">
        <f aca="false">1000*P145/H145</f>
        <v>0.338593055660164</v>
      </c>
      <c r="U145" s="194"/>
      <c r="V145" s="194"/>
      <c r="W145" s="194" t="n">
        <f aca="false">100*T145/(T145+T165+T185)</f>
        <v>1.66758690079546</v>
      </c>
      <c r="X145" s="194"/>
      <c r="Y145" s="240"/>
      <c r="Z145" s="245"/>
      <c r="AA145" s="245"/>
      <c r="AB145" s="245"/>
      <c r="AC145" s="245"/>
      <c r="AD145" s="240"/>
    </row>
    <row r="146" customFormat="false" ht="12.8" hidden="false" customHeight="false" outlineLevel="0" collapsed="false">
      <c r="B146" s="46"/>
      <c r="C146" s="96" t="s">
        <v>32</v>
      </c>
      <c r="D146" s="234" t="s">
        <v>158</v>
      </c>
      <c r="E146" s="59" t="s">
        <v>103</v>
      </c>
      <c r="F146" s="59" t="s">
        <v>185</v>
      </c>
      <c r="G146" s="59" t="n">
        <v>50</v>
      </c>
      <c r="H146" s="212" t="n">
        <f aca="false">H126</f>
        <v>20.1646</v>
      </c>
      <c r="I146" s="235" t="n">
        <v>8.888</v>
      </c>
      <c r="J146" s="235" t="n">
        <v>8.9071</v>
      </c>
      <c r="K146" s="236" t="n">
        <f aca="false">J146-I146</f>
        <v>0.0190999999999999</v>
      </c>
      <c r="L146" s="237" t="n">
        <v>34.89</v>
      </c>
      <c r="M146" s="237" t="n">
        <v>14.47</v>
      </c>
      <c r="N146" s="238" t="n">
        <f aca="false">AVERAGE(M146:M150)</f>
        <v>14.93</v>
      </c>
      <c r="O146" s="238" t="n">
        <f aca="false">STDEV(M146:M150)</f>
        <v>1.04546640309481</v>
      </c>
      <c r="P146" s="239" t="n">
        <f aca="false">K146*L146/100</f>
        <v>0.00666398999999996</v>
      </c>
      <c r="Q146" s="212" t="n">
        <f aca="false">1000*K146/H146</f>
        <v>0.947204506908141</v>
      </c>
      <c r="R146" s="212" t="n">
        <f aca="false">AVERAGE(Q146:Q150)</f>
        <v>1.075117569208</v>
      </c>
      <c r="S146" s="215" t="n">
        <f aca="false">STDEV(Q146:Q150)</f>
        <v>0.451608116331945</v>
      </c>
      <c r="T146" s="212" t="n">
        <f aca="false">1000*P146/H146</f>
        <v>0.33047965246025</v>
      </c>
      <c r="U146" s="212" t="n">
        <f aca="false">AVERAGE(T146:T150)</f>
        <v>0.41572856484599</v>
      </c>
      <c r="V146" s="212" t="n">
        <f aca="false">STDEV(T146:T150)</f>
        <v>0.206609070713336</v>
      </c>
      <c r="W146" s="212" t="n">
        <f aca="false">100*T146/(T126+T146+T166)</f>
        <v>1.63145415026743</v>
      </c>
      <c r="X146" s="212" t="n">
        <f aca="false">AVERAGE(W146:W150)</f>
        <v>2.02442115277262</v>
      </c>
      <c r="Y146" s="215" t="n">
        <f aca="false">STDEV(W146:W150)</f>
        <v>0.983782307284596</v>
      </c>
      <c r="Z146" s="213"/>
      <c r="AA146" s="257" t="n">
        <f aca="false">TTEST(W146:W150,W151:W155,2,2)</f>
        <v>9.57458941119143E-008</v>
      </c>
      <c r="AB146" s="257" t="n">
        <f aca="false">TTEST(W146:W150,W156:W160,2,2)</f>
        <v>2.78277085155535E-008</v>
      </c>
      <c r="AC146" s="257" t="n">
        <f aca="false">TTEST(W146:W150,W161:W165,2,2)</f>
        <v>9.19981118962993E-006</v>
      </c>
      <c r="AD146" s="240"/>
    </row>
    <row r="147" customFormat="false" ht="12.8" hidden="false" customHeight="false" outlineLevel="0" collapsed="false">
      <c r="B147" s="46"/>
      <c r="C147" s="50" t="s">
        <v>32</v>
      </c>
      <c r="D147" s="64" t="s">
        <v>158</v>
      </c>
      <c r="E147" s="64" t="s">
        <v>105</v>
      </c>
      <c r="F147" s="64" t="s">
        <v>185</v>
      </c>
      <c r="G147" s="64" t="n">
        <v>50</v>
      </c>
      <c r="H147" s="122" t="n">
        <f aca="false">H127</f>
        <v>19.9709</v>
      </c>
      <c r="I147" s="241" t="n">
        <v>8.9289</v>
      </c>
      <c r="J147" s="241" t="n">
        <v>8.943</v>
      </c>
      <c r="K147" s="242" t="n">
        <f aca="false">J147-I147</f>
        <v>0.0140999999999991</v>
      </c>
      <c r="L147" s="121" t="n">
        <v>28.8</v>
      </c>
      <c r="M147" s="121" t="n">
        <v>15.16</v>
      </c>
      <c r="N147" s="128"/>
      <c r="O147" s="128"/>
      <c r="P147" s="243" t="n">
        <f aca="false">K147*L147/100</f>
        <v>0.00406079999999974</v>
      </c>
      <c r="Q147" s="122" t="n">
        <f aca="false">1000*K147/H147</f>
        <v>0.706027269677336</v>
      </c>
      <c r="R147" s="122"/>
      <c r="S147" s="240"/>
      <c r="T147" s="122" t="n">
        <f aca="false">1000*P147/H147</f>
        <v>0.203335853667073</v>
      </c>
      <c r="U147" s="122"/>
      <c r="V147" s="194"/>
      <c r="W147" s="258" t="n">
        <f aca="false">100*T147/(T127+T147+T167)</f>
        <v>1.00196356038546</v>
      </c>
      <c r="X147" s="244" t="n">
        <f aca="false">QUARTILE(W146:W150,1)-(1.5*(QUARTILE(W146:W150,3)-QUARTILE(W146:W150,1)))</f>
        <v>1.1255420221053</v>
      </c>
      <c r="Y147" s="240"/>
      <c r="Z147" s="245"/>
      <c r="AA147" s="245"/>
      <c r="AB147" s="245"/>
      <c r="AC147" s="245"/>
      <c r="AD147" s="240"/>
    </row>
    <row r="148" customFormat="false" ht="12.8" hidden="false" customHeight="false" outlineLevel="0" collapsed="false">
      <c r="B148" s="46"/>
      <c r="C148" s="50" t="s">
        <v>32</v>
      </c>
      <c r="D148" s="64" t="s">
        <v>158</v>
      </c>
      <c r="E148" s="64" t="s">
        <v>108</v>
      </c>
      <c r="F148" s="64" t="s">
        <v>185</v>
      </c>
      <c r="G148" s="64" t="n">
        <v>50</v>
      </c>
      <c r="H148" s="122" t="n">
        <f aca="false">H128</f>
        <v>20.0509</v>
      </c>
      <c r="I148" s="241" t="n">
        <v>9.0802</v>
      </c>
      <c r="J148" s="241" t="n">
        <v>9.0982</v>
      </c>
      <c r="K148" s="242" t="n">
        <f aca="false">J148-I148</f>
        <v>0.0180000000000007</v>
      </c>
      <c r="L148" s="121" t="n">
        <v>45.01</v>
      </c>
      <c r="M148" s="121" t="n">
        <v>16.44</v>
      </c>
      <c r="N148" s="128"/>
      <c r="O148" s="128"/>
      <c r="P148" s="243" t="n">
        <f aca="false">K148*L148/100</f>
        <v>0.00810180000000031</v>
      </c>
      <c r="Q148" s="122" t="n">
        <f aca="false">1000*K148/H148</f>
        <v>0.897715314524569</v>
      </c>
      <c r="R148" s="122"/>
      <c r="S148" s="240"/>
      <c r="T148" s="122" t="n">
        <f aca="false">1000*P148/H148</f>
        <v>0.404061663067508</v>
      </c>
      <c r="U148" s="122"/>
      <c r="V148" s="194"/>
      <c r="W148" s="194" t="n">
        <f aca="false">100*T148/(T128+T148+T168)</f>
        <v>1.96872890237551</v>
      </c>
      <c r="X148" s="244" t="n">
        <f aca="false">QUARTILE(W146:W150,3)+(1.5*(QUARTILE(W146:W150,3)-QUARTILE(W146:W150,1)))</f>
        <v>2.47464103053764</v>
      </c>
      <c r="Y148" s="240"/>
      <c r="Z148" s="245"/>
      <c r="AA148" s="245"/>
      <c r="AB148" s="245"/>
      <c r="AC148" s="245"/>
      <c r="AD148" s="240"/>
    </row>
    <row r="149" customFormat="false" ht="12.8" hidden="false" customHeight="false" outlineLevel="0" collapsed="false">
      <c r="B149" s="46"/>
      <c r="C149" s="50" t="s">
        <v>32</v>
      </c>
      <c r="D149" s="64" t="s">
        <v>158</v>
      </c>
      <c r="E149" s="64" t="s">
        <v>111</v>
      </c>
      <c r="F149" s="64" t="s">
        <v>185</v>
      </c>
      <c r="G149" s="64" t="n">
        <v>50</v>
      </c>
      <c r="H149" s="122" t="n">
        <f aca="false">H129</f>
        <v>20.0479</v>
      </c>
      <c r="I149" s="241" t="n">
        <v>8.9453</v>
      </c>
      <c r="J149" s="241" t="n">
        <v>8.9646</v>
      </c>
      <c r="K149" s="242" t="n">
        <f aca="false">J149-I149</f>
        <v>0.0193000000000012</v>
      </c>
      <c r="L149" s="121" t="n">
        <v>39.76</v>
      </c>
      <c r="M149" s="121" t="n">
        <v>15</v>
      </c>
      <c r="N149" s="128"/>
      <c r="O149" s="128"/>
      <c r="P149" s="243" t="n">
        <f aca="false">K149*L149/100</f>
        <v>0.00767368000000048</v>
      </c>
      <c r="Q149" s="122" t="n">
        <f aca="false">1000*K149/H149</f>
        <v>0.962694347038902</v>
      </c>
      <c r="R149" s="122"/>
      <c r="S149" s="240"/>
      <c r="T149" s="122" t="n">
        <f aca="false">1000*P149/H149</f>
        <v>0.382767272382667</v>
      </c>
      <c r="U149" s="122"/>
      <c r="V149" s="194"/>
      <c r="W149" s="194" t="n">
        <f aca="false">100*T149/(T129+T149+T169)</f>
        <v>1.86939720802641</v>
      </c>
      <c r="X149" s="246"/>
      <c r="Y149" s="240"/>
      <c r="Z149" s="245"/>
      <c r="AA149" s="245"/>
      <c r="AB149" s="245"/>
      <c r="AC149" s="245"/>
      <c r="AD149" s="240"/>
    </row>
    <row r="150" customFormat="false" ht="12.8" hidden="false" customHeight="false" outlineLevel="0" collapsed="false">
      <c r="B150" s="46"/>
      <c r="C150" s="50" t="s">
        <v>32</v>
      </c>
      <c r="D150" s="64" t="s">
        <v>158</v>
      </c>
      <c r="E150" s="64" t="s">
        <v>114</v>
      </c>
      <c r="F150" s="64" t="s">
        <v>185</v>
      </c>
      <c r="G150" s="64" t="n">
        <v>50</v>
      </c>
      <c r="H150" s="122" t="n">
        <f aca="false">H130</f>
        <v>20.0328</v>
      </c>
      <c r="I150" s="241" t="n">
        <v>8.9122</v>
      </c>
      <c r="J150" s="241" t="n">
        <v>8.9495</v>
      </c>
      <c r="K150" s="242" t="n">
        <f aca="false">J150-I150</f>
        <v>0.0373000000000001</v>
      </c>
      <c r="L150" s="121" t="n">
        <v>40.71</v>
      </c>
      <c r="M150" s="121" t="n">
        <v>13.58</v>
      </c>
      <c r="N150" s="128"/>
      <c r="O150" s="128"/>
      <c r="P150" s="243" t="n">
        <f aca="false">K150*L150/100</f>
        <v>0.01518483</v>
      </c>
      <c r="Q150" s="122" t="n">
        <f aca="false">1000*K150/H150</f>
        <v>1.86194640789106</v>
      </c>
      <c r="R150" s="122"/>
      <c r="S150" s="240"/>
      <c r="T150" s="122" t="n">
        <f aca="false">1000*P150/H150</f>
        <v>0.757998382652452</v>
      </c>
      <c r="U150" s="122"/>
      <c r="V150" s="194"/>
      <c r="W150" s="258" t="n">
        <f aca="false">100*T150/(T130+T150+T170)</f>
        <v>3.65056194280828</v>
      </c>
      <c r="X150" s="122"/>
      <c r="Y150" s="240"/>
      <c r="Z150" s="245"/>
      <c r="AA150" s="245"/>
      <c r="AB150" s="245"/>
      <c r="AC150" s="245"/>
      <c r="AD150" s="240"/>
    </row>
    <row r="151" customFormat="false" ht="12.8" hidden="false" customHeight="false" outlineLevel="0" collapsed="false">
      <c r="B151" s="46"/>
      <c r="C151" s="176" t="s">
        <v>32</v>
      </c>
      <c r="D151" s="247" t="n">
        <v>0</v>
      </c>
      <c r="E151" s="247" t="s">
        <v>103</v>
      </c>
      <c r="F151" s="247" t="s">
        <v>185</v>
      </c>
      <c r="G151" s="247" t="n">
        <v>50</v>
      </c>
      <c r="H151" s="181" t="n">
        <f aca="false">H131</f>
        <v>18.5471</v>
      </c>
      <c r="I151" s="248" t="n">
        <v>5.3257</v>
      </c>
      <c r="J151" s="248" t="n">
        <v>5.4458</v>
      </c>
      <c r="K151" s="249" t="n">
        <f aca="false">J151-I151</f>
        <v>0.1201</v>
      </c>
      <c r="L151" s="179" t="n">
        <v>41.93</v>
      </c>
      <c r="M151" s="179" t="n">
        <v>14.45</v>
      </c>
      <c r="N151" s="250" t="n">
        <f aca="false">AVERAGE(M151:M155)</f>
        <v>14.176</v>
      </c>
      <c r="O151" s="250" t="n">
        <f aca="false">STDEV(M151:M155)</f>
        <v>0.21349473061413</v>
      </c>
      <c r="P151" s="251" t="n">
        <f aca="false">K151*L151/100</f>
        <v>0.0503579299999999</v>
      </c>
      <c r="Q151" s="181" t="n">
        <f aca="false">1000*K151/H151</f>
        <v>6.47540585859783</v>
      </c>
      <c r="R151" s="181" t="n">
        <f aca="false">AVERAGE(Q151:Q155)</f>
        <v>8.36124512777834</v>
      </c>
      <c r="S151" s="252" t="n">
        <f aca="false">STDEV(Q151:Q155)</f>
        <v>1.11999399782295</v>
      </c>
      <c r="T151" s="181" t="n">
        <f aca="false">1000*P151/H151</f>
        <v>2.71513767651007</v>
      </c>
      <c r="U151" s="181" t="n">
        <f aca="false">AVERAGE(T151:T155)</f>
        <v>3.36952707909156</v>
      </c>
      <c r="V151" s="181" t="n">
        <f aca="false">STDEV(T151:T155)</f>
        <v>0.410438002243562</v>
      </c>
      <c r="W151" s="259" t="n">
        <f aca="false">100*T151/(T131+T151+T171)</f>
        <v>14.2687147439737</v>
      </c>
      <c r="X151" s="181" t="n">
        <f aca="false">AVERAGE(W151:W155)</f>
        <v>16.8247531935707</v>
      </c>
      <c r="Y151" s="252" t="n">
        <f aca="false">STDEV(W151:W155)</f>
        <v>1.56108197236716</v>
      </c>
      <c r="Z151" s="253"/>
      <c r="AA151" s="253"/>
      <c r="AB151" s="253"/>
      <c r="AC151" s="261"/>
      <c r="AD151" s="240"/>
    </row>
    <row r="152" customFormat="false" ht="12.8" hidden="false" customHeight="false" outlineLevel="0" collapsed="false">
      <c r="B152" s="46"/>
      <c r="C152" s="50" t="s">
        <v>32</v>
      </c>
      <c r="D152" s="64" t="n">
        <v>0</v>
      </c>
      <c r="E152" s="64" t="s">
        <v>105</v>
      </c>
      <c r="F152" s="64" t="s">
        <v>185</v>
      </c>
      <c r="G152" s="64" t="n">
        <v>50</v>
      </c>
      <c r="H152" s="122" t="n">
        <f aca="false">H132</f>
        <v>19.7731</v>
      </c>
      <c r="I152" s="241" t="n">
        <v>5.2582</v>
      </c>
      <c r="J152" s="241" t="n">
        <v>5.433</v>
      </c>
      <c r="K152" s="242" t="n">
        <f aca="false">J152-I152</f>
        <v>0.174799999999999</v>
      </c>
      <c r="L152" s="121" t="n">
        <v>40.75</v>
      </c>
      <c r="M152" s="121" t="n">
        <v>14.31</v>
      </c>
      <c r="N152" s="128"/>
      <c r="O152" s="128"/>
      <c r="P152" s="243" t="n">
        <f aca="false">K152*L152/100</f>
        <v>0.0712309999999998</v>
      </c>
      <c r="Q152" s="122" t="n">
        <f aca="false">1000*K152/H152</f>
        <v>8.84029312550887</v>
      </c>
      <c r="R152" s="122"/>
      <c r="S152" s="240"/>
      <c r="T152" s="122" t="n">
        <f aca="false">1000*P152/H152</f>
        <v>3.60241944864486</v>
      </c>
      <c r="U152" s="122"/>
      <c r="V152" s="194"/>
      <c r="W152" s="194" t="n">
        <f aca="false">100*T152/(T132+T152+T172)</f>
        <v>17.2244333681073</v>
      </c>
      <c r="X152" s="244" t="n">
        <f aca="false">QUARTILE(W151:W155,1)-(1.5*(QUARTILE(W151:W155,3)-QUARTILE(W151:W155,1)))</f>
        <v>16.5796119953461</v>
      </c>
      <c r="Y152" s="240"/>
      <c r="Z152" s="245"/>
      <c r="AA152" s="245"/>
      <c r="AB152" s="245"/>
      <c r="AC152" s="245"/>
      <c r="AD152" s="240"/>
    </row>
    <row r="153" customFormat="false" ht="12.8" hidden="false" customHeight="false" outlineLevel="0" collapsed="false">
      <c r="B153" s="46"/>
      <c r="C153" s="50" t="s">
        <v>32</v>
      </c>
      <c r="D153" s="64" t="n">
        <v>0</v>
      </c>
      <c r="E153" s="64" t="s">
        <v>108</v>
      </c>
      <c r="F153" s="64" t="s">
        <v>185</v>
      </c>
      <c r="G153" s="64" t="n">
        <v>50</v>
      </c>
      <c r="H153" s="122" t="n">
        <f aca="false">H133</f>
        <v>19.9552</v>
      </c>
      <c r="I153" s="241" t="n">
        <v>5.3367</v>
      </c>
      <c r="J153" s="241" t="n">
        <v>5.5026</v>
      </c>
      <c r="K153" s="242" t="n">
        <f aca="false">J153-I153</f>
        <v>0.1659</v>
      </c>
      <c r="L153" s="121" t="n">
        <v>41.86</v>
      </c>
      <c r="M153" s="121" t="n">
        <v>14.19</v>
      </c>
      <c r="N153" s="128"/>
      <c r="O153" s="128"/>
      <c r="P153" s="243" t="n">
        <f aca="false">K153*L153/100</f>
        <v>0.0694457399999999</v>
      </c>
      <c r="Q153" s="122" t="n">
        <f aca="false">1000*K153/H153</f>
        <v>8.31362251443232</v>
      </c>
      <c r="R153" s="122"/>
      <c r="S153" s="240"/>
      <c r="T153" s="122" t="n">
        <f aca="false">1000*P153/H153</f>
        <v>3.48008238454137</v>
      </c>
      <c r="U153" s="122"/>
      <c r="V153" s="194"/>
      <c r="W153" s="194" t="n">
        <f aca="false">100*T153/(T133+T153+T173)</f>
        <v>16.9665048190028</v>
      </c>
      <c r="X153" s="244" t="n">
        <f aca="false">QUARTILE(W151:W155,3)+(1.5*(QUARTILE(W151:W155,3)-QUARTILE(W151:W155,1)))</f>
        <v>17.611326191764</v>
      </c>
      <c r="Y153" s="240"/>
      <c r="Z153" s="245"/>
      <c r="AA153" s="245"/>
      <c r="AB153" s="245"/>
      <c r="AC153" s="245"/>
      <c r="AD153" s="240"/>
    </row>
    <row r="154" customFormat="false" ht="12.8" hidden="false" customHeight="false" outlineLevel="0" collapsed="false">
      <c r="B154" s="46"/>
      <c r="C154" s="50" t="s">
        <v>32</v>
      </c>
      <c r="D154" s="64" t="n">
        <v>0</v>
      </c>
      <c r="E154" s="64" t="s">
        <v>111</v>
      </c>
      <c r="F154" s="64" t="s">
        <v>185</v>
      </c>
      <c r="G154" s="64" t="n">
        <v>50</v>
      </c>
      <c r="H154" s="122" t="n">
        <f aca="false">H134</f>
        <v>20.6926</v>
      </c>
      <c r="I154" s="241" t="n">
        <v>5.2779</v>
      </c>
      <c r="J154" s="241" t="n">
        <v>5.4599</v>
      </c>
      <c r="K154" s="242" t="n">
        <f aca="false">J154-I154</f>
        <v>0.182</v>
      </c>
      <c r="L154" s="121" t="n">
        <v>37.17</v>
      </c>
      <c r="M154" s="121" t="n">
        <v>13.96</v>
      </c>
      <c r="N154" s="128"/>
      <c r="O154" s="128"/>
      <c r="P154" s="243" t="n">
        <f aca="false">K154*L154/100</f>
        <v>0.0676494000000001</v>
      </c>
      <c r="Q154" s="122" t="n">
        <f aca="false">1000*K154/H154</f>
        <v>8.79541478596215</v>
      </c>
      <c r="R154" s="122"/>
      <c r="S154" s="240"/>
      <c r="T154" s="122" t="n">
        <f aca="false">1000*P154/H154</f>
        <v>3.26925567594213</v>
      </c>
      <c r="U154" s="122"/>
      <c r="V154" s="194"/>
      <c r="W154" s="194" t="n">
        <f aca="false">100*T154/(T134+T154+T174)</f>
        <v>17.1230369839618</v>
      </c>
      <c r="X154" s="246"/>
      <c r="Y154" s="240"/>
      <c r="Z154" s="245"/>
      <c r="AA154" s="245"/>
      <c r="AB154" s="245"/>
      <c r="AC154" s="245"/>
      <c r="AD154" s="240"/>
    </row>
    <row r="155" customFormat="false" ht="12.8" hidden="false" customHeight="false" outlineLevel="0" collapsed="false">
      <c r="B155" s="46"/>
      <c r="C155" s="50" t="s">
        <v>32</v>
      </c>
      <c r="D155" s="64" t="n">
        <v>0</v>
      </c>
      <c r="E155" s="64" t="s">
        <v>114</v>
      </c>
      <c r="F155" s="64" t="s">
        <v>185</v>
      </c>
      <c r="G155" s="64" t="n">
        <v>50</v>
      </c>
      <c r="H155" s="122" t="n">
        <f aca="false">H135</f>
        <v>20.3699</v>
      </c>
      <c r="I155" s="241" t="n">
        <v>5.3822</v>
      </c>
      <c r="J155" s="241" t="n">
        <v>5.5733</v>
      </c>
      <c r="K155" s="242" t="n">
        <f aca="false">J155-I155</f>
        <v>0.1911</v>
      </c>
      <c r="L155" s="121" t="n">
        <v>40.3</v>
      </c>
      <c r="M155" s="121" t="n">
        <v>13.97</v>
      </c>
      <c r="N155" s="128"/>
      <c r="O155" s="128"/>
      <c r="P155" s="243" t="n">
        <f aca="false">K155*L155/100</f>
        <v>0.0770132999999998</v>
      </c>
      <c r="Q155" s="122" t="n">
        <f aca="false">1000*K155/H155</f>
        <v>9.38148935439053</v>
      </c>
      <c r="R155" s="122"/>
      <c r="S155" s="240"/>
      <c r="T155" s="122" t="n">
        <f aca="false">1000*P155/H155</f>
        <v>3.78074020981938</v>
      </c>
      <c r="U155" s="122"/>
      <c r="V155" s="194"/>
      <c r="W155" s="258" t="n">
        <f aca="false">100*T155/(T135+T155+T175)</f>
        <v>18.541076052808</v>
      </c>
      <c r="X155" s="122"/>
      <c r="Y155" s="240"/>
      <c r="Z155" s="245"/>
      <c r="AA155" s="245"/>
      <c r="AB155" s="245"/>
      <c r="AC155" s="245"/>
      <c r="AD155" s="240"/>
    </row>
    <row r="156" customFormat="false" ht="12.8" hidden="false" customHeight="false" outlineLevel="0" collapsed="false">
      <c r="B156" s="46"/>
      <c r="C156" s="176" t="s">
        <v>32</v>
      </c>
      <c r="D156" s="247" t="n">
        <v>1</v>
      </c>
      <c r="E156" s="247" t="s">
        <v>103</v>
      </c>
      <c r="F156" s="247" t="s">
        <v>185</v>
      </c>
      <c r="G156" s="247" t="n">
        <v>50</v>
      </c>
      <c r="H156" s="181" t="n">
        <f aca="false">H136</f>
        <v>19.9399</v>
      </c>
      <c r="I156" s="248" t="n">
        <v>5.2748</v>
      </c>
      <c r="J156" s="248" t="n">
        <v>5.4325</v>
      </c>
      <c r="K156" s="249" t="n">
        <f aca="false">J156-I156</f>
        <v>0.1577</v>
      </c>
      <c r="L156" s="179" t="n">
        <v>38.55</v>
      </c>
      <c r="M156" s="179" t="n">
        <v>13.62</v>
      </c>
      <c r="N156" s="250" t="n">
        <f aca="false">AVERAGE(M156:M160)</f>
        <v>13.436</v>
      </c>
      <c r="O156" s="250" t="n">
        <f aca="false">STDEV(M156:M160)</f>
        <v>0.274098522433084</v>
      </c>
      <c r="P156" s="251" t="n">
        <f aca="false">K156*L156/100</f>
        <v>0.0607933500000001</v>
      </c>
      <c r="Q156" s="181" t="n">
        <f aca="false">1000*K156/H156</f>
        <v>7.90876584135328</v>
      </c>
      <c r="R156" s="181" t="n">
        <f aca="false">AVERAGE(Q156:Q160)</f>
        <v>8.48767255768837</v>
      </c>
      <c r="S156" s="252" t="n">
        <f aca="false">STDEV(Q156:Q160)</f>
        <v>0.418474277032816</v>
      </c>
      <c r="T156" s="181" t="n">
        <f aca="false">1000*P156/H156</f>
        <v>3.04882923184169</v>
      </c>
      <c r="U156" s="181" t="n">
        <f aca="false">AVERAGE(T156:T160)</f>
        <v>3.27592202868931</v>
      </c>
      <c r="V156" s="181" t="n">
        <f aca="false">STDEV(T156:T160)</f>
        <v>0.167761191475844</v>
      </c>
      <c r="W156" s="259" t="n">
        <f aca="false">100*T156/(T136+T156+T176)</f>
        <v>13.8015185828377</v>
      </c>
      <c r="X156" s="181" t="n">
        <f aca="false">AVERAGE(W156:W160)</f>
        <v>15.5940081667758</v>
      </c>
      <c r="Y156" s="252" t="n">
        <f aca="false">STDEV(W156:W160)</f>
        <v>1.05888221567142</v>
      </c>
      <c r="Z156" s="253"/>
      <c r="AA156" s="253"/>
      <c r="AB156" s="253"/>
      <c r="AC156" s="261"/>
      <c r="AD156" s="240"/>
    </row>
    <row r="157" customFormat="false" ht="12.8" hidden="false" customHeight="false" outlineLevel="0" collapsed="false">
      <c r="B157" s="46"/>
      <c r="C157" s="50" t="s">
        <v>32</v>
      </c>
      <c r="D157" s="64" t="n">
        <v>1</v>
      </c>
      <c r="E157" s="64" t="s">
        <v>105</v>
      </c>
      <c r="F157" s="64" t="s">
        <v>185</v>
      </c>
      <c r="G157" s="64" t="n">
        <v>50</v>
      </c>
      <c r="H157" s="122" t="n">
        <f aca="false">H137</f>
        <v>19.8252</v>
      </c>
      <c r="I157" s="241" t="n">
        <v>5.2502</v>
      </c>
      <c r="J157" s="241" t="n">
        <v>5.4241</v>
      </c>
      <c r="K157" s="242" t="n">
        <f aca="false">J157-I157</f>
        <v>0.1739</v>
      </c>
      <c r="L157" s="121" t="n">
        <v>38.69</v>
      </c>
      <c r="M157" s="121" t="n">
        <v>13.45</v>
      </c>
      <c r="N157" s="128"/>
      <c r="O157" s="128"/>
      <c r="P157" s="243" t="n">
        <f aca="false">K157*L157/100</f>
        <v>0.0672819099999999</v>
      </c>
      <c r="Q157" s="122" t="n">
        <f aca="false">1000*K157/H157</f>
        <v>8.77166434638741</v>
      </c>
      <c r="R157" s="122"/>
      <c r="S157" s="240"/>
      <c r="T157" s="122" t="n">
        <f aca="false">1000*P157/H157</f>
        <v>3.39375693561729</v>
      </c>
      <c r="U157" s="122"/>
      <c r="V157" s="194"/>
      <c r="W157" s="194" t="n">
        <f aca="false">100*T157/(T137+T157+T177)</f>
        <v>16.1319717996777</v>
      </c>
      <c r="X157" s="244" t="n">
        <f aca="false">QUARTILE(W156:W160,1)-(1.5*(QUARTILE(W156:W160,3)-QUARTILE(W156:W160,1)))</f>
        <v>15.0300741081726</v>
      </c>
      <c r="Y157" s="240"/>
      <c r="Z157" s="245"/>
      <c r="AA157" s="245"/>
      <c r="AB157" s="245"/>
      <c r="AC157" s="245"/>
      <c r="AD157" s="240"/>
    </row>
    <row r="158" customFormat="false" ht="12.8" hidden="false" customHeight="false" outlineLevel="0" collapsed="false">
      <c r="B158" s="46"/>
      <c r="C158" s="50" t="s">
        <v>32</v>
      </c>
      <c r="D158" s="64" t="n">
        <v>1</v>
      </c>
      <c r="E158" s="64" t="s">
        <v>108</v>
      </c>
      <c r="F158" s="64" t="s">
        <v>185</v>
      </c>
      <c r="G158" s="64" t="n">
        <v>50</v>
      </c>
      <c r="H158" s="122" t="n">
        <f aca="false">H138</f>
        <v>19.9435</v>
      </c>
      <c r="I158" s="241" t="n">
        <v>5.2572</v>
      </c>
      <c r="J158" s="241" t="n">
        <v>5.425</v>
      </c>
      <c r="K158" s="242" t="n">
        <f aca="false">J158-I158</f>
        <v>0.1678</v>
      </c>
      <c r="L158" s="121" t="n">
        <v>38.18</v>
      </c>
      <c r="M158" s="121" t="n">
        <v>12.96</v>
      </c>
      <c r="N158" s="128"/>
      <c r="O158" s="128"/>
      <c r="P158" s="243" t="n">
        <f aca="false">K158*L158/100</f>
        <v>0.0640660399999999</v>
      </c>
      <c r="Q158" s="122" t="n">
        <f aca="false">1000*K158/H158</f>
        <v>8.41376889713439</v>
      </c>
      <c r="R158" s="122"/>
      <c r="S158" s="240"/>
      <c r="T158" s="122" t="n">
        <f aca="false">1000*P158/H158</f>
        <v>3.21237696492591</v>
      </c>
      <c r="U158" s="122"/>
      <c r="V158" s="194"/>
      <c r="W158" s="194" t="n">
        <f aca="false">100*T158/(T138+T158+T178)</f>
        <v>15.6912127230757</v>
      </c>
      <c r="X158" s="244" t="n">
        <f aca="false">QUARTILE(W156:W160,3)+(1.5*(QUARTILE(W156:W160,3)-QUARTILE(W156:W160,1)))</f>
        <v>16.7931104145809</v>
      </c>
      <c r="Y158" s="240"/>
      <c r="Z158" s="245"/>
      <c r="AA158" s="245"/>
      <c r="AB158" s="245"/>
      <c r="AC158" s="245"/>
      <c r="AD158" s="240"/>
    </row>
    <row r="159" customFormat="false" ht="12.8" hidden="false" customHeight="false" outlineLevel="0" collapsed="false">
      <c r="B159" s="46"/>
      <c r="C159" s="50" t="s">
        <v>32</v>
      </c>
      <c r="D159" s="64" t="n">
        <v>1</v>
      </c>
      <c r="E159" s="64" t="s">
        <v>111</v>
      </c>
      <c r="F159" s="64" t="s">
        <v>185</v>
      </c>
      <c r="G159" s="64" t="n">
        <v>50</v>
      </c>
      <c r="H159" s="122" t="n">
        <f aca="false">H139</f>
        <v>19.8512</v>
      </c>
      <c r="I159" s="241" t="n">
        <v>5.317</v>
      </c>
      <c r="J159" s="241" t="n">
        <v>5.4827</v>
      </c>
      <c r="K159" s="242" t="n">
        <f aca="false">J159-I159</f>
        <v>0.1657</v>
      </c>
      <c r="L159" s="121" t="n">
        <v>38.86</v>
      </c>
      <c r="M159" s="121" t="n">
        <v>13.55</v>
      </c>
      <c r="N159" s="128"/>
      <c r="O159" s="128"/>
      <c r="P159" s="243" t="n">
        <f aca="false">K159*L159/100</f>
        <v>0.0643910200000001</v>
      </c>
      <c r="Q159" s="122" t="n">
        <f aca="false">1000*K159/H159</f>
        <v>8.34710244216975</v>
      </c>
      <c r="R159" s="122"/>
      <c r="S159" s="240"/>
      <c r="T159" s="122" t="n">
        <f aca="false">1000*P159/H159</f>
        <v>3.24368400902717</v>
      </c>
      <c r="U159" s="122"/>
      <c r="V159" s="194"/>
      <c r="W159" s="194" t="n">
        <f aca="false">100*T159/(T139+T159+T179)</f>
        <v>15.7832094460485</v>
      </c>
      <c r="X159" s="246"/>
      <c r="Y159" s="240"/>
      <c r="Z159" s="245"/>
      <c r="AA159" s="245"/>
      <c r="AB159" s="245"/>
      <c r="AC159" s="245"/>
      <c r="AD159" s="240"/>
    </row>
    <row r="160" customFormat="false" ht="12.8" hidden="false" customHeight="false" outlineLevel="0" collapsed="false">
      <c r="B160" s="46"/>
      <c r="C160" s="50" t="s">
        <v>32</v>
      </c>
      <c r="D160" s="64" t="n">
        <v>1</v>
      </c>
      <c r="E160" s="64" t="s">
        <v>114</v>
      </c>
      <c r="F160" s="64" t="s">
        <v>185</v>
      </c>
      <c r="G160" s="255" t="n">
        <v>50</v>
      </c>
      <c r="H160" s="194" t="n">
        <f aca="false">H140</f>
        <v>19.9065</v>
      </c>
      <c r="I160" s="241" t="n">
        <v>5.2751</v>
      </c>
      <c r="J160" s="241" t="n">
        <v>5.4542</v>
      </c>
      <c r="K160" s="242" t="n">
        <f aca="false">J160-I160</f>
        <v>0.1791</v>
      </c>
      <c r="L160" s="121" t="n">
        <v>38.69</v>
      </c>
      <c r="M160" s="121" t="n">
        <v>13.6</v>
      </c>
      <c r="N160" s="128"/>
      <c r="O160" s="128"/>
      <c r="P160" s="243" t="n">
        <f aca="false">K160*L160/100</f>
        <v>0.06929379</v>
      </c>
      <c r="Q160" s="194" t="n">
        <f aca="false">1000*K160/H160</f>
        <v>8.99706126139703</v>
      </c>
      <c r="R160" s="194"/>
      <c r="S160" s="240"/>
      <c r="T160" s="194" t="n">
        <f aca="false">1000*P160/H160</f>
        <v>3.48096300203451</v>
      </c>
      <c r="U160" s="194"/>
      <c r="V160" s="194"/>
      <c r="W160" s="194" t="n">
        <f aca="false">100*T160/(T140+T160+T180)</f>
        <v>16.5621282822394</v>
      </c>
      <c r="X160" s="194"/>
      <c r="Y160" s="240"/>
      <c r="Z160" s="245"/>
      <c r="AA160" s="245"/>
      <c r="AB160" s="245"/>
      <c r="AC160" s="245"/>
      <c r="AD160" s="240"/>
    </row>
    <row r="161" customFormat="false" ht="12.8" hidden="false" customHeight="false" outlineLevel="0" collapsed="false">
      <c r="B161" s="46"/>
      <c r="C161" s="176" t="s">
        <v>32</v>
      </c>
      <c r="D161" s="247" t="n">
        <v>4</v>
      </c>
      <c r="E161" s="247" t="s">
        <v>103</v>
      </c>
      <c r="F161" s="247" t="s">
        <v>185</v>
      </c>
      <c r="G161" s="247" t="n">
        <v>50</v>
      </c>
      <c r="H161" s="181" t="n">
        <f aca="false">H141</f>
        <v>19.8704</v>
      </c>
      <c r="I161" s="248" t="n">
        <v>5.271</v>
      </c>
      <c r="J161" s="248" t="n">
        <v>5.4066</v>
      </c>
      <c r="K161" s="249" t="n">
        <f aca="false">J161-I161</f>
        <v>0.1356</v>
      </c>
      <c r="L161" s="179" t="n">
        <v>38.08</v>
      </c>
      <c r="M161" s="179" t="n">
        <v>14.21</v>
      </c>
      <c r="N161" s="250" t="n">
        <f aca="false">AVERAGE(M161:M165)</f>
        <v>14.082</v>
      </c>
      <c r="O161" s="250" t="n">
        <f aca="false">STDEV(M161:M165)</f>
        <v>0.311159123279392</v>
      </c>
      <c r="P161" s="251" t="n">
        <f aca="false">K161*L161/100</f>
        <v>0.0516364800000001</v>
      </c>
      <c r="Q161" s="181" t="n">
        <f aca="false">1000*K161/H161</f>
        <v>6.82422095176746</v>
      </c>
      <c r="R161" s="181" t="n">
        <f aca="false">AVERAGE(Q161:Q165)</f>
        <v>6.67266657159321</v>
      </c>
      <c r="S161" s="252" t="n">
        <f aca="false">STDEV(Q161:Q165)</f>
        <v>1.26356539427286</v>
      </c>
      <c r="T161" s="181" t="n">
        <f aca="false">1000*P161/H161</f>
        <v>2.59866333843305</v>
      </c>
      <c r="U161" s="181" t="n">
        <f aca="false">AVERAGE(T161:T165)</f>
        <v>2.55892810044989</v>
      </c>
      <c r="V161" s="181" t="n">
        <f aca="false">STDEV(T161:T165)</f>
        <v>0.441113227779517</v>
      </c>
      <c r="W161" s="181" t="n">
        <f aca="false">100*T161/(T141+T161+T181)</f>
        <v>13.0808118691685</v>
      </c>
      <c r="X161" s="181" t="n">
        <f aca="false">AVERAGE(W161:W165)</f>
        <v>12.531322900645</v>
      </c>
      <c r="Y161" s="252" t="n">
        <f aca="false">STDEV(W161:W165)</f>
        <v>2.16156076152042</v>
      </c>
      <c r="Z161" s="253"/>
      <c r="AA161" s="253"/>
      <c r="AB161" s="253"/>
      <c r="AC161" s="253"/>
      <c r="AD161" s="240"/>
    </row>
    <row r="162" customFormat="false" ht="12.8" hidden="false" customHeight="false" outlineLevel="0" collapsed="false">
      <c r="B162" s="46"/>
      <c r="C162" s="50" t="s">
        <v>32</v>
      </c>
      <c r="D162" s="64" t="n">
        <v>4</v>
      </c>
      <c r="E162" s="64" t="s">
        <v>105</v>
      </c>
      <c r="F162" s="64" t="s">
        <v>185</v>
      </c>
      <c r="G162" s="64" t="n">
        <v>50</v>
      </c>
      <c r="H162" s="122" t="n">
        <f aca="false">H142</f>
        <v>19.7438</v>
      </c>
      <c r="I162" s="241" t="n">
        <v>5.2778</v>
      </c>
      <c r="J162" s="241" t="n">
        <v>5.4457</v>
      </c>
      <c r="K162" s="242" t="n">
        <f aca="false">J162-I162</f>
        <v>0.1679</v>
      </c>
      <c r="L162" s="121" t="n">
        <v>37.42</v>
      </c>
      <c r="M162" s="121" t="n">
        <v>14.12</v>
      </c>
      <c r="N162" s="128"/>
      <c r="O162" s="128"/>
      <c r="P162" s="243" t="n">
        <f aca="false">K162*L162/100</f>
        <v>0.0628281800000002</v>
      </c>
      <c r="Q162" s="122" t="n">
        <f aca="false">1000*K162/H162</f>
        <v>8.50393541263589</v>
      </c>
      <c r="R162" s="122"/>
      <c r="S162" s="240"/>
      <c r="T162" s="122" t="n">
        <f aca="false">1000*P162/H162</f>
        <v>3.18217263140835</v>
      </c>
      <c r="U162" s="122"/>
      <c r="V162" s="194"/>
      <c r="W162" s="258" t="n">
        <f aca="false">100*T162/(T142+T162+T182)</f>
        <v>15.4087984605176</v>
      </c>
      <c r="X162" s="244" t="n">
        <f aca="false">QUARTILE(W161:W165,1)-(1.5*(QUARTILE(W161:W165,3)-QUARTILE(W161:W165,1)))</f>
        <v>9.86974710618299</v>
      </c>
      <c r="Y162" s="240"/>
      <c r="Z162" s="245"/>
      <c r="AA162" s="245"/>
      <c r="AB162" s="245"/>
      <c r="AC162" s="245"/>
      <c r="AD162" s="240"/>
    </row>
    <row r="163" customFormat="false" ht="12.8" hidden="false" customHeight="false" outlineLevel="0" collapsed="false">
      <c r="B163" s="46"/>
      <c r="C163" s="50" t="s">
        <v>32</v>
      </c>
      <c r="D163" s="64" t="n">
        <v>4</v>
      </c>
      <c r="E163" s="64" t="s">
        <v>108</v>
      </c>
      <c r="F163" s="64" t="s">
        <v>185</v>
      </c>
      <c r="G163" s="64" t="n">
        <v>50</v>
      </c>
      <c r="H163" s="122" t="n">
        <f aca="false">H143</f>
        <v>20.0086</v>
      </c>
      <c r="I163" s="241" t="n">
        <v>5.339</v>
      </c>
      <c r="J163" s="241" t="n">
        <v>5.4758</v>
      </c>
      <c r="K163" s="242" t="n">
        <f aca="false">J163-I163</f>
        <v>0.136799999999999</v>
      </c>
      <c r="L163" s="121" t="n">
        <v>38.81</v>
      </c>
      <c r="M163" s="121" t="n">
        <v>13.9</v>
      </c>
      <c r="N163" s="128"/>
      <c r="O163" s="128"/>
      <c r="P163" s="243" t="n">
        <f aca="false">K163*L163/100</f>
        <v>0.0530920799999997</v>
      </c>
      <c r="Q163" s="122" t="n">
        <f aca="false">1000*K163/H163</f>
        <v>6.83706006417236</v>
      </c>
      <c r="R163" s="122"/>
      <c r="S163" s="240"/>
      <c r="T163" s="122" t="n">
        <f aca="false">1000*P163/H163</f>
        <v>2.65346301090529</v>
      </c>
      <c r="U163" s="122"/>
      <c r="V163" s="194"/>
      <c r="W163" s="194" t="n">
        <f aca="false">100*T163/(T143+T163+T183)</f>
        <v>12.9092489820109</v>
      </c>
      <c r="X163" s="244" t="n">
        <f aca="false">QUARTILE(W161:W165,3)+(1.5*(QUARTILE(W161:W165,3)-QUARTILE(W161:W165,1)))</f>
        <v>15.0074507269598</v>
      </c>
      <c r="Y163" s="240"/>
      <c r="Z163" s="245"/>
      <c r="AA163" s="245"/>
      <c r="AB163" s="245"/>
      <c r="AC163" s="245"/>
      <c r="AD163" s="240"/>
    </row>
    <row r="164" customFormat="false" ht="12.8" hidden="false" customHeight="false" outlineLevel="0" collapsed="false">
      <c r="B164" s="46"/>
      <c r="C164" s="50" t="s">
        <v>32</v>
      </c>
      <c r="D164" s="64" t="n">
        <v>4</v>
      </c>
      <c r="E164" s="64" t="s">
        <v>111</v>
      </c>
      <c r="F164" s="64" t="s">
        <v>185</v>
      </c>
      <c r="G164" s="64" t="n">
        <v>50</v>
      </c>
      <c r="H164" s="122" t="n">
        <f aca="false">H144</f>
        <v>19.7927</v>
      </c>
      <c r="I164" s="241" t="n">
        <v>5.2728</v>
      </c>
      <c r="J164" s="241" t="n">
        <v>5.3721</v>
      </c>
      <c r="K164" s="242" t="n">
        <f aca="false">J164-I164</f>
        <v>0.0992999999999995</v>
      </c>
      <c r="L164" s="121" t="n">
        <v>39.17</v>
      </c>
      <c r="M164" s="121" t="n">
        <v>14.5</v>
      </c>
      <c r="N164" s="128"/>
      <c r="O164" s="128"/>
      <c r="P164" s="243" t="n">
        <f aca="false">K164*L164/100</f>
        <v>0.0388958099999998</v>
      </c>
      <c r="Q164" s="122" t="n">
        <f aca="false">1000*K164/H164</f>
        <v>5.01700121762061</v>
      </c>
      <c r="R164" s="122"/>
      <c r="S164" s="240"/>
      <c r="T164" s="122" t="n">
        <f aca="false">1000*P164/H164</f>
        <v>1.96515937694199</v>
      </c>
      <c r="U164" s="122"/>
      <c r="V164" s="194"/>
      <c r="W164" s="258" t="n">
        <f aca="false">100*T164/(T144+T164+T184)</f>
        <v>9.46136922755382</v>
      </c>
      <c r="X164" s="246"/>
      <c r="Y164" s="240"/>
      <c r="Z164" s="245"/>
      <c r="AA164" s="245"/>
      <c r="AB164" s="245"/>
      <c r="AC164" s="245"/>
      <c r="AD164" s="240"/>
    </row>
    <row r="165" customFormat="false" ht="12.8" hidden="false" customHeight="false" outlineLevel="0" collapsed="false">
      <c r="B165" s="46"/>
      <c r="C165" s="50" t="s">
        <v>32</v>
      </c>
      <c r="D165" s="64" t="n">
        <v>4</v>
      </c>
      <c r="E165" s="64" t="s">
        <v>114</v>
      </c>
      <c r="F165" s="64" t="s">
        <v>185</v>
      </c>
      <c r="G165" s="255" t="n">
        <v>50</v>
      </c>
      <c r="H165" s="194" t="n">
        <f aca="false">H145</f>
        <v>19.9155</v>
      </c>
      <c r="I165" s="241" t="n">
        <v>5.2911</v>
      </c>
      <c r="J165" s="241" t="n">
        <v>5.4142</v>
      </c>
      <c r="K165" s="242" t="n">
        <f aca="false">J165-I165</f>
        <v>0.1231</v>
      </c>
      <c r="L165" s="121" t="n">
        <v>38.75</v>
      </c>
      <c r="M165" s="121" t="n">
        <v>13.68</v>
      </c>
      <c r="N165" s="128"/>
      <c r="O165" s="128"/>
      <c r="P165" s="243" t="n">
        <f aca="false">K165*L165/100</f>
        <v>0.04770125</v>
      </c>
      <c r="Q165" s="194" t="n">
        <f aca="false">1000*K165/H165</f>
        <v>6.18111521176973</v>
      </c>
      <c r="R165" s="194"/>
      <c r="S165" s="240"/>
      <c r="T165" s="194" t="n">
        <f aca="false">1000*P165/H165</f>
        <v>2.39518214456077</v>
      </c>
      <c r="U165" s="194"/>
      <c r="V165" s="194"/>
      <c r="W165" s="194" t="n">
        <f aca="false">100*T165/(T145+T165+T185)</f>
        <v>11.7963859639743</v>
      </c>
      <c r="X165" s="194"/>
      <c r="Y165" s="240"/>
      <c r="Z165" s="245"/>
      <c r="AA165" s="245"/>
      <c r="AB165" s="245"/>
      <c r="AC165" s="245"/>
      <c r="AD165" s="240"/>
    </row>
    <row r="166" customFormat="false" ht="12.8" hidden="false" customHeight="false" outlineLevel="0" collapsed="false">
      <c r="B166" s="46"/>
      <c r="C166" s="96" t="s">
        <v>32</v>
      </c>
      <c r="D166" s="234" t="s">
        <v>158</v>
      </c>
      <c r="E166" s="59" t="s">
        <v>103</v>
      </c>
      <c r="F166" s="59" t="s">
        <v>185</v>
      </c>
      <c r="G166" s="59" t="s">
        <v>184</v>
      </c>
      <c r="H166" s="212" t="n">
        <f aca="false">H126</f>
        <v>20.1646</v>
      </c>
      <c r="I166" s="235" t="n">
        <v>25.1025</v>
      </c>
      <c r="J166" s="235" t="n">
        <v>45.2435</v>
      </c>
      <c r="K166" s="236" t="n">
        <f aca="false">J166-I166</f>
        <v>20.141</v>
      </c>
      <c r="L166" s="237" t="n">
        <v>1.99</v>
      </c>
      <c r="M166" s="237" t="n">
        <v>9.7</v>
      </c>
      <c r="N166" s="238" t="n">
        <f aca="false">AVERAGE(M166:M170)</f>
        <v>9.62</v>
      </c>
      <c r="O166" s="238" t="n">
        <f aca="false">STDEV(M166:M170)</f>
        <v>0.109544511501033</v>
      </c>
      <c r="P166" s="239" t="n">
        <f aca="false">K166*L166/100</f>
        <v>0.4008059</v>
      </c>
      <c r="Q166" s="212"/>
      <c r="R166" s="212"/>
      <c r="S166" s="215"/>
      <c r="T166" s="212" t="n">
        <f aca="false">1000*P166/H166</f>
        <v>19.876709679339</v>
      </c>
      <c r="U166" s="212" t="n">
        <f aca="false">AVERAGE(T166:T170)</f>
        <v>19.9945684430443</v>
      </c>
      <c r="V166" s="212" t="n">
        <f aca="false">STDEV(T166:T170)</f>
        <v>0.0860706613716246</v>
      </c>
      <c r="W166" s="212" t="n">
        <f aca="false">100*T166/(T126+T146+T166)</f>
        <v>98.1238640824303</v>
      </c>
      <c r="X166" s="212" t="n">
        <f aca="false">AVERAGE(W166:W170)</f>
        <v>97.7186042621807</v>
      </c>
      <c r="Y166" s="215" t="n">
        <f aca="false">STDEV(W166:W170)</f>
        <v>0.920216786991525</v>
      </c>
      <c r="Z166" s="213"/>
      <c r="AA166" s="257" t="n">
        <f aca="false">TTEST(W166:W170,W171:W175,2,2)</f>
        <v>2.54028919032867E-009</v>
      </c>
      <c r="AB166" s="257" t="n">
        <f aca="false">TTEST(W166:W170,W176:W180,2,2)</f>
        <v>1.79638937705528E-009</v>
      </c>
      <c r="AC166" s="257" t="n">
        <f aca="false">TTEST(W166:W170,W181:W185,2,2)</f>
        <v>5.97710256554454E-006</v>
      </c>
      <c r="AD166" s="240"/>
    </row>
    <row r="167" customFormat="false" ht="12.8" hidden="false" customHeight="false" outlineLevel="0" collapsed="false">
      <c r="B167" s="46"/>
      <c r="C167" s="50" t="s">
        <v>32</v>
      </c>
      <c r="D167" s="64" t="s">
        <v>158</v>
      </c>
      <c r="E167" s="64" t="s">
        <v>105</v>
      </c>
      <c r="F167" s="64" t="s">
        <v>185</v>
      </c>
      <c r="G167" s="64" t="s">
        <v>184</v>
      </c>
      <c r="H167" s="122" t="n">
        <f aca="false">H127</f>
        <v>19.9709</v>
      </c>
      <c r="I167" s="241" t="n">
        <v>25.3044</v>
      </c>
      <c r="J167" s="241" t="n">
        <v>45.2552</v>
      </c>
      <c r="K167" s="242" t="n">
        <f aca="false">J167-I167</f>
        <v>19.9508</v>
      </c>
      <c r="L167" s="121" t="n">
        <v>2</v>
      </c>
      <c r="M167" s="121" t="n">
        <v>9.5</v>
      </c>
      <c r="N167" s="128"/>
      <c r="O167" s="128"/>
      <c r="P167" s="243" t="n">
        <f aca="false">K167*L167/100</f>
        <v>0.399016</v>
      </c>
      <c r="Q167" s="122"/>
      <c r="R167" s="122"/>
      <c r="S167" s="240"/>
      <c r="T167" s="122" t="n">
        <f aca="false">1000*P167/H167</f>
        <v>19.9798707118858</v>
      </c>
      <c r="U167" s="122"/>
      <c r="V167" s="194"/>
      <c r="W167" s="194" t="n">
        <f aca="false">100*T167/(T127+T147+T167)</f>
        <v>98.4533816023423</v>
      </c>
      <c r="X167" s="244" t="n">
        <f aca="false">QUARTILE(W166:W170,1)-(1.5*(QUARTILE(W166:W170,3)-QUARTILE(W166:W170,1)))</f>
        <v>97.3956917642781</v>
      </c>
      <c r="Y167" s="240"/>
      <c r="Z167" s="245"/>
      <c r="AA167" s="245"/>
      <c r="AB167" s="245"/>
      <c r="AC167" s="245"/>
      <c r="AD167" s="240"/>
    </row>
    <row r="168" customFormat="false" ht="12.8" hidden="false" customHeight="false" outlineLevel="0" collapsed="false">
      <c r="B168" s="46"/>
      <c r="C168" s="50" t="s">
        <v>32</v>
      </c>
      <c r="D168" s="64" t="s">
        <v>158</v>
      </c>
      <c r="E168" s="64" t="s">
        <v>108</v>
      </c>
      <c r="F168" s="64" t="s">
        <v>185</v>
      </c>
      <c r="G168" s="64" t="s">
        <v>184</v>
      </c>
      <c r="H168" s="122" t="n">
        <f aca="false">H128</f>
        <v>20.0509</v>
      </c>
      <c r="I168" s="241" t="n">
        <v>24.8776</v>
      </c>
      <c r="J168" s="241" t="n">
        <v>44.9077</v>
      </c>
      <c r="K168" s="242" t="n">
        <f aca="false">J168-I168</f>
        <v>20.0301</v>
      </c>
      <c r="L168" s="121" t="n">
        <v>2.01</v>
      </c>
      <c r="M168" s="121" t="n">
        <v>9.7</v>
      </c>
      <c r="N168" s="128"/>
      <c r="O168" s="128"/>
      <c r="P168" s="243" t="n">
        <f aca="false">K168*L168/100</f>
        <v>0.40260501</v>
      </c>
      <c r="Q168" s="122"/>
      <c r="R168" s="122"/>
      <c r="S168" s="240"/>
      <c r="T168" s="122" t="n">
        <f aca="false">1000*P168/H168</f>
        <v>20.079149065628</v>
      </c>
      <c r="U168" s="122"/>
      <c r="V168" s="194"/>
      <c r="W168" s="194" t="n">
        <f aca="false">100*T168/(T128+T148+T168)</f>
        <v>97.8325951551694</v>
      </c>
      <c r="X168" s="244" t="n">
        <f aca="false">QUARTILE(W166:W170,3)+(1.5*(QUARTILE(W166:W170,3)-QUARTILE(W166:W170,1)))</f>
        <v>98.5607674733216</v>
      </c>
      <c r="Y168" s="240"/>
      <c r="Z168" s="245"/>
      <c r="AA168" s="245"/>
      <c r="AB168" s="245"/>
      <c r="AC168" s="245"/>
      <c r="AD168" s="240"/>
    </row>
    <row r="169" customFormat="false" ht="12.8" hidden="false" customHeight="false" outlineLevel="0" collapsed="false">
      <c r="B169" s="46"/>
      <c r="C169" s="50" t="s">
        <v>32</v>
      </c>
      <c r="D169" s="64" t="s">
        <v>158</v>
      </c>
      <c r="E169" s="64" t="s">
        <v>111</v>
      </c>
      <c r="F169" s="64" t="s">
        <v>185</v>
      </c>
      <c r="G169" s="64" t="s">
        <v>184</v>
      </c>
      <c r="H169" s="122" t="n">
        <f aca="false">H129</f>
        <v>20.0479</v>
      </c>
      <c r="I169" s="241" t="n">
        <v>25.0831</v>
      </c>
      <c r="J169" s="241" t="n">
        <v>45.1097</v>
      </c>
      <c r="K169" s="242" t="n">
        <f aca="false">J169-I169</f>
        <v>20.0266</v>
      </c>
      <c r="L169" s="121" t="n">
        <v>2.01</v>
      </c>
      <c r="M169" s="121" t="n">
        <v>9.7</v>
      </c>
      <c r="N169" s="128"/>
      <c r="O169" s="128"/>
      <c r="P169" s="243" t="n">
        <f aca="false">K169*L169/100</f>
        <v>0.40253466</v>
      </c>
      <c r="Q169" s="122"/>
      <c r="R169" s="122"/>
      <c r="S169" s="240"/>
      <c r="T169" s="122" t="n">
        <f aca="false">1000*P169/H169</f>
        <v>20.0786446460727</v>
      </c>
      <c r="U169" s="122"/>
      <c r="V169" s="194"/>
      <c r="W169" s="194" t="n">
        <f aca="false">100*T169/(T129+T149+T169)</f>
        <v>98.0620992193856</v>
      </c>
      <c r="X169" s="246"/>
      <c r="Y169" s="240"/>
      <c r="Z169" s="245"/>
      <c r="AA169" s="245"/>
      <c r="AB169" s="245"/>
      <c r="AC169" s="245"/>
      <c r="AD169" s="240"/>
    </row>
    <row r="170" customFormat="false" ht="12.8" hidden="false" customHeight="false" outlineLevel="0" collapsed="false">
      <c r="B170" s="46"/>
      <c r="C170" s="50" t="s">
        <v>32</v>
      </c>
      <c r="D170" s="64" t="s">
        <v>158</v>
      </c>
      <c r="E170" s="64" t="s">
        <v>114</v>
      </c>
      <c r="F170" s="64" t="s">
        <v>185</v>
      </c>
      <c r="G170" s="64" t="s">
        <v>184</v>
      </c>
      <c r="H170" s="122" t="n">
        <f aca="false">H130</f>
        <v>20.0328</v>
      </c>
      <c r="I170" s="241" t="n">
        <v>24.7542</v>
      </c>
      <c r="J170" s="241" t="n">
        <v>44.7454</v>
      </c>
      <c r="K170" s="242" t="n">
        <f aca="false">J170-I170</f>
        <v>19.9912</v>
      </c>
      <c r="L170" s="121" t="n">
        <v>2</v>
      </c>
      <c r="M170" s="121" t="n">
        <v>9.5</v>
      </c>
      <c r="N170" s="128"/>
      <c r="O170" s="128"/>
      <c r="P170" s="243" t="n">
        <f aca="false">K170*L170/100</f>
        <v>0.399824</v>
      </c>
      <c r="Q170" s="122"/>
      <c r="R170" s="122"/>
      <c r="S170" s="240"/>
      <c r="T170" s="122" t="n">
        <f aca="false">1000*P170/H170</f>
        <v>19.9584681122958</v>
      </c>
      <c r="U170" s="122"/>
      <c r="V170" s="194"/>
      <c r="W170" s="256" t="n">
        <f aca="false">100*T170/(T130+T150+T170)</f>
        <v>96.1210812515762</v>
      </c>
      <c r="X170" s="122"/>
      <c r="Y170" s="240"/>
      <c r="Z170" s="245"/>
      <c r="AA170" s="245"/>
      <c r="AB170" s="245"/>
      <c r="AC170" s="245"/>
      <c r="AD170" s="240"/>
    </row>
    <row r="171" customFormat="false" ht="12.8" hidden="false" customHeight="false" outlineLevel="0" collapsed="false">
      <c r="B171" s="46"/>
      <c r="C171" s="176" t="s">
        <v>32</v>
      </c>
      <c r="D171" s="247" t="n">
        <v>0</v>
      </c>
      <c r="E171" s="247" t="s">
        <v>103</v>
      </c>
      <c r="F171" s="247" t="s">
        <v>185</v>
      </c>
      <c r="G171" s="247" t="s">
        <v>184</v>
      </c>
      <c r="H171" s="181" t="n">
        <f aca="false">H131</f>
        <v>18.5471</v>
      </c>
      <c r="I171" s="248" t="n">
        <v>25.0684</v>
      </c>
      <c r="J171" s="248" t="n">
        <v>43.4679</v>
      </c>
      <c r="K171" s="249" t="n">
        <f aca="false">J171-I171</f>
        <v>18.3995</v>
      </c>
      <c r="L171" s="179" t="n">
        <v>1.59</v>
      </c>
      <c r="M171" s="179" t="n">
        <v>9.4</v>
      </c>
      <c r="N171" s="250" t="n">
        <f aca="false">AVERAGE(M171:M175)</f>
        <v>9</v>
      </c>
      <c r="O171" s="250" t="n">
        <f aca="false">STDEV(M171:M175)</f>
        <v>0.223606797749979</v>
      </c>
      <c r="P171" s="251" t="n">
        <f aca="false">K171*L171/100</f>
        <v>0.29255205</v>
      </c>
      <c r="Q171" s="181"/>
      <c r="R171" s="181"/>
      <c r="S171" s="252"/>
      <c r="T171" s="181" t="n">
        <f aca="false">1000*P171/H171</f>
        <v>15.7734659326795</v>
      </c>
      <c r="U171" s="181" t="n">
        <f aca="false">AVERAGE(T171:T175)</f>
        <v>16.2649762255845</v>
      </c>
      <c r="V171" s="181" t="n">
        <f aca="false">STDEV(T171:T175)</f>
        <v>0.646219070975566</v>
      </c>
      <c r="W171" s="259" t="n">
        <f aca="false">100*T171/(T131+T151+T171)</f>
        <v>82.8934340473236</v>
      </c>
      <c r="X171" s="181" t="n">
        <f aca="false">AVERAGE(W171:W175)</f>
        <v>81.3890787203781</v>
      </c>
      <c r="Y171" s="252" t="n">
        <f aca="false">STDEV(W171:W175)</f>
        <v>0.896643660723474</v>
      </c>
      <c r="Z171" s="253"/>
      <c r="AA171" s="253"/>
      <c r="AB171" s="253"/>
      <c r="AC171" s="261"/>
      <c r="AD171" s="240"/>
    </row>
    <row r="172" customFormat="false" ht="12.8" hidden="false" customHeight="false" outlineLevel="0" collapsed="false">
      <c r="B172" s="46"/>
      <c r="C172" s="50" t="s">
        <v>32</v>
      </c>
      <c r="D172" s="64" t="n">
        <v>0</v>
      </c>
      <c r="E172" s="64" t="s">
        <v>105</v>
      </c>
      <c r="F172" s="64" t="s">
        <v>185</v>
      </c>
      <c r="G172" s="64" t="s">
        <v>184</v>
      </c>
      <c r="H172" s="122" t="n">
        <f aca="false">H132</f>
        <v>19.7731</v>
      </c>
      <c r="I172" s="241" t="n">
        <v>25.288</v>
      </c>
      <c r="J172" s="241" t="n">
        <v>44.8701</v>
      </c>
      <c r="K172" s="242" t="n">
        <f aca="false">J172-I172</f>
        <v>19.5821</v>
      </c>
      <c r="L172" s="121" t="n">
        <v>1.72</v>
      </c>
      <c r="M172" s="121" t="n">
        <v>8.9</v>
      </c>
      <c r="N172" s="128"/>
      <c r="O172" s="128"/>
      <c r="P172" s="243" t="n">
        <f aca="false">K172*L172/100</f>
        <v>0.33681212</v>
      </c>
      <c r="Q172" s="122"/>
      <c r="R172" s="122"/>
      <c r="S172" s="240"/>
      <c r="T172" s="122" t="n">
        <f aca="false">1000*P172/H172</f>
        <v>17.0338550859501</v>
      </c>
      <c r="U172" s="122"/>
      <c r="V172" s="194"/>
      <c r="W172" s="194" t="n">
        <f aca="false">100*T172/(T132+T152+T172)</f>
        <v>81.4448473068044</v>
      </c>
      <c r="X172" s="244" t="n">
        <f aca="false">QUARTILE(W171:W175,1)-(1.5*(QUARTILE(W171:W175,3)-QUARTILE(W171:W175,1)))</f>
        <v>80.0861406927955</v>
      </c>
      <c r="Y172" s="240"/>
      <c r="Z172" s="245"/>
      <c r="AA172" s="245"/>
      <c r="AB172" s="245"/>
      <c r="AC172" s="245"/>
      <c r="AD172" s="240"/>
    </row>
    <row r="173" customFormat="false" ht="12.8" hidden="false" customHeight="false" outlineLevel="0" collapsed="false">
      <c r="B173" s="46"/>
      <c r="C173" s="50" t="s">
        <v>32</v>
      </c>
      <c r="D173" s="64" t="n">
        <v>0</v>
      </c>
      <c r="E173" s="64" t="s">
        <v>108</v>
      </c>
      <c r="F173" s="64" t="s">
        <v>185</v>
      </c>
      <c r="G173" s="64" t="s">
        <v>184</v>
      </c>
      <c r="H173" s="122" t="n">
        <f aca="false">H133</f>
        <v>19.9552</v>
      </c>
      <c r="I173" s="241" t="n">
        <v>25.5618</v>
      </c>
      <c r="J173" s="241" t="n">
        <v>45.3243</v>
      </c>
      <c r="K173" s="242" t="n">
        <f aca="false">J173-I173</f>
        <v>19.7625</v>
      </c>
      <c r="L173" s="121" t="n">
        <v>1.68</v>
      </c>
      <c r="M173" s="121" t="n">
        <v>8.9</v>
      </c>
      <c r="N173" s="128"/>
      <c r="O173" s="128"/>
      <c r="P173" s="243" t="n">
        <f aca="false">K173*L173/100</f>
        <v>0.33201</v>
      </c>
      <c r="Q173" s="122"/>
      <c r="R173" s="122"/>
      <c r="S173" s="240"/>
      <c r="T173" s="122" t="n">
        <f aca="false">1000*P173/H173</f>
        <v>16.6377686016677</v>
      </c>
      <c r="U173" s="122"/>
      <c r="V173" s="194"/>
      <c r="W173" s="194" t="n">
        <f aca="false">100*T173/(T133+T153+T173)</f>
        <v>81.1143961452082</v>
      </c>
      <c r="X173" s="244" t="n">
        <f aca="false">QUARTILE(W171:W175,3)+(1.5*(QUARTILE(W171:W175,3)-QUARTILE(W171:W175,1)))</f>
        <v>82.2600712752096</v>
      </c>
      <c r="Y173" s="240"/>
      <c r="Z173" s="245"/>
      <c r="AA173" s="245"/>
      <c r="AB173" s="245"/>
      <c r="AC173" s="245"/>
      <c r="AD173" s="240"/>
    </row>
    <row r="174" customFormat="false" ht="12.8" hidden="false" customHeight="false" outlineLevel="0" collapsed="false">
      <c r="B174" s="46"/>
      <c r="C174" s="50" t="s">
        <v>32</v>
      </c>
      <c r="D174" s="64" t="n">
        <v>0</v>
      </c>
      <c r="E174" s="64" t="s">
        <v>111</v>
      </c>
      <c r="F174" s="64" t="s">
        <v>185</v>
      </c>
      <c r="G174" s="64" t="s">
        <v>184</v>
      </c>
      <c r="H174" s="122" t="n">
        <f aca="false">H134</f>
        <v>20.6926</v>
      </c>
      <c r="I174" s="241" t="n">
        <v>25.7161</v>
      </c>
      <c r="J174" s="241" t="n">
        <v>46.2048</v>
      </c>
      <c r="K174" s="242" t="n">
        <f aca="false">J174-I174</f>
        <v>20.4887</v>
      </c>
      <c r="L174" s="121" t="n">
        <v>1.56</v>
      </c>
      <c r="M174" s="121" t="n">
        <v>8.9</v>
      </c>
      <c r="N174" s="128"/>
      <c r="O174" s="128"/>
      <c r="P174" s="243" t="n">
        <f aca="false">K174*L174/100</f>
        <v>0.31962372</v>
      </c>
      <c r="Q174" s="122"/>
      <c r="R174" s="122"/>
      <c r="S174" s="240"/>
      <c r="T174" s="122" t="n">
        <f aca="false">1000*P174/H174</f>
        <v>15.4462812792979</v>
      </c>
      <c r="U174" s="122"/>
      <c r="V174" s="194"/>
      <c r="W174" s="194" t="n">
        <f aca="false">100*T174/(T134+T154+T174)</f>
        <v>80.9013646612008</v>
      </c>
      <c r="X174" s="246"/>
      <c r="Y174" s="240"/>
      <c r="Z174" s="245"/>
      <c r="AA174" s="245"/>
      <c r="AB174" s="245"/>
      <c r="AC174" s="245"/>
      <c r="AD174" s="240"/>
    </row>
    <row r="175" customFormat="false" ht="12.8" hidden="false" customHeight="false" outlineLevel="0" collapsed="false">
      <c r="B175" s="46"/>
      <c r="C175" s="50" t="s">
        <v>32</v>
      </c>
      <c r="D175" s="64" t="n">
        <v>0</v>
      </c>
      <c r="E175" s="64" t="s">
        <v>114</v>
      </c>
      <c r="F175" s="64" t="s">
        <v>185</v>
      </c>
      <c r="G175" s="64" t="s">
        <v>184</v>
      </c>
      <c r="H175" s="122" t="n">
        <f aca="false">H135</f>
        <v>20.3699</v>
      </c>
      <c r="I175" s="241" t="n">
        <v>24.6371</v>
      </c>
      <c r="J175" s="241" t="n">
        <v>44.8027</v>
      </c>
      <c r="K175" s="242" t="n">
        <f aca="false">J175-I175</f>
        <v>20.1656</v>
      </c>
      <c r="L175" s="121" t="n">
        <v>1.66</v>
      </c>
      <c r="M175" s="121" t="n">
        <v>8.9</v>
      </c>
      <c r="N175" s="128"/>
      <c r="O175" s="128"/>
      <c r="P175" s="243" t="n">
        <f aca="false">K175*L175/100</f>
        <v>0.33474896</v>
      </c>
      <c r="Q175" s="122"/>
      <c r="R175" s="122"/>
      <c r="S175" s="240"/>
      <c r="T175" s="122" t="n">
        <f aca="false">1000*P175/H175</f>
        <v>16.4335102283271</v>
      </c>
      <c r="U175" s="122"/>
      <c r="V175" s="194"/>
      <c r="W175" s="194" t="n">
        <f aca="false">100*T175/(T135+T155+T175)</f>
        <v>80.5913514413535</v>
      </c>
      <c r="X175" s="122"/>
      <c r="Y175" s="240"/>
      <c r="Z175" s="245"/>
      <c r="AA175" s="245"/>
      <c r="AB175" s="245"/>
      <c r="AC175" s="245"/>
      <c r="AD175" s="240"/>
    </row>
    <row r="176" customFormat="false" ht="12.8" hidden="false" customHeight="false" outlineLevel="0" collapsed="false">
      <c r="B176" s="46"/>
      <c r="C176" s="176" t="s">
        <v>32</v>
      </c>
      <c r="D176" s="247" t="n">
        <v>1</v>
      </c>
      <c r="E176" s="247" t="s">
        <v>103</v>
      </c>
      <c r="F176" s="247" t="s">
        <v>185</v>
      </c>
      <c r="G176" s="247" t="s">
        <v>184</v>
      </c>
      <c r="H176" s="181" t="n">
        <f aca="false">H136</f>
        <v>19.9399</v>
      </c>
      <c r="I176" s="248" t="n">
        <v>24.5506</v>
      </c>
      <c r="J176" s="248" t="n">
        <v>44.2647</v>
      </c>
      <c r="K176" s="249" t="n">
        <f aca="false">J176-I176</f>
        <v>19.7141</v>
      </c>
      <c r="L176" s="179" t="n">
        <v>1.82</v>
      </c>
      <c r="M176" s="179" t="n">
        <v>9.1</v>
      </c>
      <c r="N176" s="250" t="n">
        <f aca="false">AVERAGE(M176:M180)</f>
        <v>9.18</v>
      </c>
      <c r="O176" s="250" t="n">
        <f aca="false">STDEV(M176:M180)</f>
        <v>0.0836660026534079</v>
      </c>
      <c r="P176" s="251" t="n">
        <f aca="false">K176*L176/100</f>
        <v>0.35879662</v>
      </c>
      <c r="Q176" s="181"/>
      <c r="R176" s="181"/>
      <c r="S176" s="252"/>
      <c r="T176" s="181" t="n">
        <f aca="false">1000*P176/H176</f>
        <v>17.993902677546</v>
      </c>
      <c r="U176" s="181" t="n">
        <f aca="false">AVERAGE(T176:T180)</f>
        <v>17.3262324013005</v>
      </c>
      <c r="V176" s="181" t="n">
        <f aca="false">STDEV(T176:T180)</f>
        <v>0.424399315050168</v>
      </c>
      <c r="W176" s="259" t="n">
        <f aca="false">100*T176/(T136+T156+T176)</f>
        <v>81.455261445361</v>
      </c>
      <c r="X176" s="181" t="n">
        <f aca="false">AVERAGE(W176:W180)</f>
        <v>82.3861219301804</v>
      </c>
      <c r="Y176" s="252" t="n">
        <f aca="false">STDEV(W176:W180)</f>
        <v>0.697704525638355</v>
      </c>
      <c r="Z176" s="253"/>
      <c r="AA176" s="253"/>
      <c r="AB176" s="253"/>
      <c r="AC176" s="261"/>
      <c r="AD176" s="240"/>
    </row>
    <row r="177" customFormat="false" ht="12.8" hidden="false" customHeight="false" outlineLevel="0" collapsed="false">
      <c r="B177" s="46"/>
      <c r="C177" s="50" t="s">
        <v>32</v>
      </c>
      <c r="D177" s="64" t="n">
        <v>1</v>
      </c>
      <c r="E177" s="64" t="s">
        <v>105</v>
      </c>
      <c r="F177" s="64" t="s">
        <v>185</v>
      </c>
      <c r="G177" s="64" t="s">
        <v>184</v>
      </c>
      <c r="H177" s="122" t="n">
        <f aca="false">H137</f>
        <v>19.8252</v>
      </c>
      <c r="I177" s="241" t="n">
        <v>25.1651</v>
      </c>
      <c r="J177" s="241" t="n">
        <v>44.7935</v>
      </c>
      <c r="K177" s="242" t="n">
        <f aca="false">J177-I177</f>
        <v>19.6284</v>
      </c>
      <c r="L177" s="121" t="n">
        <v>1.75</v>
      </c>
      <c r="M177" s="121" t="n">
        <v>9.2</v>
      </c>
      <c r="N177" s="128"/>
      <c r="O177" s="128"/>
      <c r="P177" s="243" t="n">
        <f aca="false">K177*L177/100</f>
        <v>0.343497</v>
      </c>
      <c r="Q177" s="122"/>
      <c r="R177" s="122"/>
      <c r="S177" s="240"/>
      <c r="T177" s="122" t="n">
        <f aca="false">1000*P177/H177</f>
        <v>17.3262817020761</v>
      </c>
      <c r="U177" s="122"/>
      <c r="V177" s="194"/>
      <c r="W177" s="194" t="n">
        <f aca="false">100*T177/(T137+T157+T177)</f>
        <v>82.3591945780659</v>
      </c>
      <c r="X177" s="244" t="n">
        <f aca="false">QUARTILE(W176:W180,1)-(1.5*(QUARTILE(W176:W180,3)-QUARTILE(W176:W180,1)))</f>
        <v>81.8829539006877</v>
      </c>
      <c r="Y177" s="240"/>
      <c r="Z177" s="245"/>
      <c r="AA177" s="245"/>
      <c r="AB177" s="245"/>
      <c r="AC177" s="245"/>
      <c r="AD177" s="240"/>
    </row>
    <row r="178" customFormat="false" ht="12.8" hidden="false" customHeight="false" outlineLevel="0" collapsed="false">
      <c r="B178" s="46"/>
      <c r="C178" s="50" t="s">
        <v>32</v>
      </c>
      <c r="D178" s="64" t="n">
        <v>1</v>
      </c>
      <c r="E178" s="64" t="s">
        <v>108</v>
      </c>
      <c r="F178" s="64" t="s">
        <v>185</v>
      </c>
      <c r="G178" s="64" t="s">
        <v>184</v>
      </c>
      <c r="H178" s="122" t="n">
        <f aca="false">H138</f>
        <v>19.9435</v>
      </c>
      <c r="I178" s="241" t="n">
        <v>25.5212</v>
      </c>
      <c r="J178" s="241" t="n">
        <v>45.2718</v>
      </c>
      <c r="K178" s="242" t="n">
        <f aca="false">J178-I178</f>
        <v>19.7506</v>
      </c>
      <c r="L178" s="121" t="n">
        <v>1.7</v>
      </c>
      <c r="M178" s="121" t="n">
        <v>9.3</v>
      </c>
      <c r="N178" s="128"/>
      <c r="O178" s="128"/>
      <c r="P178" s="243" t="n">
        <f aca="false">K178*L178/100</f>
        <v>0.3357602</v>
      </c>
      <c r="Q178" s="122"/>
      <c r="R178" s="122"/>
      <c r="S178" s="240"/>
      <c r="T178" s="122" t="n">
        <f aca="false">1000*P178/H178</f>
        <v>16.8355704866247</v>
      </c>
      <c r="U178" s="122"/>
      <c r="V178" s="194"/>
      <c r="W178" s="194" t="n">
        <f aca="false">100*T178/(T138+T158+T178)</f>
        <v>82.235217318605</v>
      </c>
      <c r="X178" s="244" t="n">
        <f aca="false">QUARTILE(W176:W180,3)+(1.5*(QUARTILE(W176:W180,3)-QUARTILE(W176:W180,1)))</f>
        <v>82.8223230151338</v>
      </c>
      <c r="Y178" s="240"/>
      <c r="Z178" s="245"/>
      <c r="AA178" s="245"/>
      <c r="AB178" s="245"/>
      <c r="AC178" s="245"/>
      <c r="AD178" s="240"/>
    </row>
    <row r="179" customFormat="false" ht="12.8" hidden="false" customHeight="false" outlineLevel="0" collapsed="false">
      <c r="B179" s="46"/>
      <c r="C179" s="50" t="s">
        <v>32</v>
      </c>
      <c r="D179" s="64" t="n">
        <v>1</v>
      </c>
      <c r="E179" s="64" t="s">
        <v>111</v>
      </c>
      <c r="F179" s="64" t="s">
        <v>185</v>
      </c>
      <c r="G179" s="64" t="s">
        <v>184</v>
      </c>
      <c r="H179" s="122" t="n">
        <f aca="false">H139</f>
        <v>19.8512</v>
      </c>
      <c r="I179" s="241" t="n">
        <v>24.6626</v>
      </c>
      <c r="J179" s="241" t="n">
        <v>44.3327</v>
      </c>
      <c r="K179" s="242" t="n">
        <f aca="false">J179-I179</f>
        <v>19.6701</v>
      </c>
      <c r="L179" s="121" t="n">
        <v>1.73</v>
      </c>
      <c r="M179" s="121" t="n">
        <v>9.2</v>
      </c>
      <c r="N179" s="128"/>
      <c r="O179" s="128"/>
      <c r="P179" s="243" t="n">
        <f aca="false">K179*L179/100</f>
        <v>0.34029273</v>
      </c>
      <c r="Q179" s="122"/>
      <c r="R179" s="122"/>
      <c r="S179" s="240"/>
      <c r="T179" s="122" t="n">
        <f aca="false">1000*P179/H179</f>
        <v>17.142174276618</v>
      </c>
      <c r="U179" s="122"/>
      <c r="V179" s="194"/>
      <c r="W179" s="258" t="n">
        <f aca="false">100*T179/(T139+T159+T179)</f>
        <v>83.4108767116538</v>
      </c>
      <c r="X179" s="246"/>
      <c r="Y179" s="240"/>
      <c r="Z179" s="245"/>
      <c r="AA179" s="245"/>
      <c r="AB179" s="245"/>
      <c r="AC179" s="245"/>
      <c r="AD179" s="240"/>
    </row>
    <row r="180" customFormat="false" ht="12.8" hidden="false" customHeight="false" outlineLevel="0" collapsed="false">
      <c r="B180" s="46"/>
      <c r="C180" s="50" t="s">
        <v>32</v>
      </c>
      <c r="D180" s="64" t="n">
        <v>1</v>
      </c>
      <c r="E180" s="64" t="s">
        <v>114</v>
      </c>
      <c r="F180" s="64" t="s">
        <v>185</v>
      </c>
      <c r="G180" s="255" t="s">
        <v>184</v>
      </c>
      <c r="H180" s="194" t="n">
        <f aca="false">H140</f>
        <v>19.9065</v>
      </c>
      <c r="I180" s="241" t="n">
        <v>25.292</v>
      </c>
      <c r="J180" s="241" t="n">
        <v>45.0088</v>
      </c>
      <c r="K180" s="242" t="n">
        <f aca="false">J180-I180</f>
        <v>19.7168</v>
      </c>
      <c r="L180" s="121" t="n">
        <v>1.75</v>
      </c>
      <c r="M180" s="121" t="n">
        <v>9.1</v>
      </c>
      <c r="N180" s="128"/>
      <c r="O180" s="128"/>
      <c r="P180" s="243" t="n">
        <f aca="false">K180*L180/100</f>
        <v>0.345044</v>
      </c>
      <c r="Q180" s="194"/>
      <c r="R180" s="194"/>
      <c r="S180" s="240"/>
      <c r="T180" s="194" t="n">
        <f aca="false">1000*P180/H180</f>
        <v>17.3332328636375</v>
      </c>
      <c r="U180" s="194"/>
      <c r="V180" s="194"/>
      <c r="W180" s="194" t="n">
        <f aca="false">100*T180/(T140+T160+T180)</f>
        <v>82.4700595972165</v>
      </c>
      <c r="X180" s="194"/>
      <c r="Y180" s="240"/>
      <c r="Z180" s="245"/>
      <c r="AA180" s="245"/>
      <c r="AB180" s="245"/>
      <c r="AC180" s="245"/>
      <c r="AD180" s="240"/>
    </row>
    <row r="181" customFormat="false" ht="12.8" hidden="false" customHeight="false" outlineLevel="0" collapsed="false">
      <c r="B181" s="46"/>
      <c r="C181" s="176" t="s">
        <v>32</v>
      </c>
      <c r="D181" s="247" t="n">
        <v>4</v>
      </c>
      <c r="E181" s="247" t="s">
        <v>103</v>
      </c>
      <c r="F181" s="247" t="s">
        <v>185</v>
      </c>
      <c r="G181" s="247" t="s">
        <v>184</v>
      </c>
      <c r="H181" s="181" t="n">
        <f aca="false">H141</f>
        <v>19.8704</v>
      </c>
      <c r="I181" s="248" t="n">
        <v>25.4321</v>
      </c>
      <c r="J181" s="248" t="n">
        <v>45.1608</v>
      </c>
      <c r="K181" s="249" t="n">
        <f aca="false">J181-I181</f>
        <v>19.7287</v>
      </c>
      <c r="L181" s="179" t="n">
        <v>1.73</v>
      </c>
      <c r="M181" s="179" t="n">
        <v>9.3</v>
      </c>
      <c r="N181" s="250" t="n">
        <f aca="false">AVERAGE(M181:M185)</f>
        <v>9.38</v>
      </c>
      <c r="O181" s="250" t="n">
        <f aca="false">STDEV(M181:M185)</f>
        <v>0.130384048104053</v>
      </c>
      <c r="P181" s="251" t="n">
        <f aca="false">K181*L181/100</f>
        <v>0.34130651</v>
      </c>
      <c r="Q181" s="181"/>
      <c r="R181" s="181"/>
      <c r="S181" s="252"/>
      <c r="T181" s="181" t="n">
        <f aca="false">1000*P181/H181</f>
        <v>17.176630062807</v>
      </c>
      <c r="U181" s="181" t="n">
        <f aca="false">AVERAGE(T181:T185)</f>
        <v>17.6896752674691</v>
      </c>
      <c r="V181" s="181" t="n">
        <f aca="false">STDEV(T181:T185)</f>
        <v>0.596050148786236</v>
      </c>
      <c r="W181" s="181" t="n">
        <f aca="false">100*T181/(T141+T161+T181)</f>
        <v>86.4614754342757</v>
      </c>
      <c r="X181" s="181" t="n">
        <f aca="false">AVERAGE(W181:W185)</f>
        <v>86.5832650616675</v>
      </c>
      <c r="Y181" s="252" t="n">
        <f aca="false">STDEV(W181:W185)</f>
        <v>2.19057210506365</v>
      </c>
      <c r="Z181" s="253"/>
      <c r="AA181" s="253"/>
      <c r="AB181" s="253"/>
      <c r="AC181" s="253"/>
      <c r="AD181" s="240"/>
    </row>
    <row r="182" customFormat="false" ht="12.8" hidden="false" customHeight="false" outlineLevel="0" collapsed="false">
      <c r="B182" s="46"/>
      <c r="C182" s="50" t="s">
        <v>32</v>
      </c>
      <c r="D182" s="64" t="n">
        <v>4</v>
      </c>
      <c r="E182" s="64" t="s">
        <v>105</v>
      </c>
      <c r="F182" s="64" t="s">
        <v>185</v>
      </c>
      <c r="G182" s="64" t="s">
        <v>184</v>
      </c>
      <c r="H182" s="122" t="n">
        <f aca="false">H142</f>
        <v>19.7438</v>
      </c>
      <c r="I182" s="241" t="n">
        <v>25.3672</v>
      </c>
      <c r="J182" s="241" t="n">
        <v>44.9324</v>
      </c>
      <c r="K182" s="242" t="n">
        <f aca="false">J182-I182</f>
        <v>19.5652</v>
      </c>
      <c r="L182" s="121" t="n">
        <v>1.75</v>
      </c>
      <c r="M182" s="121" t="n">
        <v>9.2</v>
      </c>
      <c r="N182" s="128"/>
      <c r="O182" s="128"/>
      <c r="P182" s="243" t="n">
        <f aca="false">K182*L182/100</f>
        <v>0.342391</v>
      </c>
      <c r="Q182" s="122"/>
      <c r="R182" s="122"/>
      <c r="S182" s="240"/>
      <c r="T182" s="122" t="n">
        <f aca="false">1000*P182/H182</f>
        <v>17.3416971403681</v>
      </c>
      <c r="U182" s="122"/>
      <c r="V182" s="194"/>
      <c r="W182" s="258" t="n">
        <f aca="false">100*T182/(T142+T162+T182)</f>
        <v>83.9724135522481</v>
      </c>
      <c r="X182" s="244" t="n">
        <f aca="false">QUARTILE(W181:W185,1)-(1.5*(QUARTILE(W181:W185,3)-QUARTILE(W181:W185,1)))</f>
        <v>84.9760131807632</v>
      </c>
      <c r="Y182" s="240"/>
      <c r="Z182" s="245"/>
      <c r="AA182" s="245"/>
      <c r="AB182" s="245"/>
      <c r="AC182" s="245"/>
      <c r="AD182" s="240"/>
    </row>
    <row r="183" customFormat="false" ht="12.8" hidden="false" customHeight="false" outlineLevel="0" collapsed="false">
      <c r="B183" s="46"/>
      <c r="C183" s="50" t="s">
        <v>32</v>
      </c>
      <c r="D183" s="64" t="n">
        <v>4</v>
      </c>
      <c r="E183" s="64" t="s">
        <v>108</v>
      </c>
      <c r="F183" s="64" t="s">
        <v>185</v>
      </c>
      <c r="G183" s="64" t="s">
        <v>184</v>
      </c>
      <c r="H183" s="122" t="n">
        <f aca="false">H143</f>
        <v>20.0086</v>
      </c>
      <c r="I183" s="241" t="n">
        <v>24.2827</v>
      </c>
      <c r="J183" s="241" t="n">
        <v>44.1328</v>
      </c>
      <c r="K183" s="242" t="n">
        <f aca="false">J183-I183</f>
        <v>19.8501</v>
      </c>
      <c r="L183" s="121" t="n">
        <v>1.78</v>
      </c>
      <c r="M183" s="121" t="n">
        <v>9.4</v>
      </c>
      <c r="N183" s="128"/>
      <c r="O183" s="128"/>
      <c r="P183" s="243" t="n">
        <f aca="false">K183*L183/100</f>
        <v>0.35333178</v>
      </c>
      <c r="Q183" s="122"/>
      <c r="R183" s="122"/>
      <c r="S183" s="240"/>
      <c r="T183" s="122" t="n">
        <f aca="false">1000*P183/H183</f>
        <v>17.6589956318783</v>
      </c>
      <c r="U183" s="122"/>
      <c r="V183" s="194"/>
      <c r="W183" s="194" t="n">
        <f aca="false">100*T183/(T143+T163+T183)</f>
        <v>85.9120215534434</v>
      </c>
      <c r="X183" s="244" t="n">
        <f aca="false">QUARTILE(W181:W185,3)+(1.5*(QUARTILE(W181:W185,3)-QUARTILE(W181:W185,1)))</f>
        <v>87.4720355079105</v>
      </c>
      <c r="Y183" s="240"/>
      <c r="Z183" s="245"/>
      <c r="AA183" s="245"/>
      <c r="AB183" s="245"/>
      <c r="AC183" s="245"/>
      <c r="AD183" s="240"/>
    </row>
    <row r="184" customFormat="false" ht="12.8" hidden="false" customHeight="false" outlineLevel="0" collapsed="false">
      <c r="B184" s="46"/>
      <c r="C184" s="50" t="s">
        <v>32</v>
      </c>
      <c r="D184" s="64" t="n">
        <v>4</v>
      </c>
      <c r="E184" s="64" t="s">
        <v>111</v>
      </c>
      <c r="F184" s="64" t="s">
        <v>185</v>
      </c>
      <c r="G184" s="64" t="s">
        <v>184</v>
      </c>
      <c r="H184" s="122" t="n">
        <f aca="false">H144</f>
        <v>19.7927</v>
      </c>
      <c r="I184" s="241" t="n">
        <v>25.2346</v>
      </c>
      <c r="J184" s="241" t="n">
        <v>44.9225</v>
      </c>
      <c r="K184" s="242" t="n">
        <f aca="false">J184-I184</f>
        <v>19.6879</v>
      </c>
      <c r="L184" s="121" t="n">
        <v>1.88</v>
      </c>
      <c r="M184" s="121" t="n">
        <v>9.5</v>
      </c>
      <c r="N184" s="128"/>
      <c r="O184" s="128"/>
      <c r="P184" s="243" t="n">
        <f aca="false">K184*L184/100</f>
        <v>0.37013252</v>
      </c>
      <c r="Q184" s="122"/>
      <c r="R184" s="122"/>
      <c r="S184" s="240"/>
      <c r="T184" s="122" t="n">
        <f aca="false">1000*P184/H184</f>
        <v>18.7004562288116</v>
      </c>
      <c r="U184" s="122"/>
      <c r="V184" s="194"/>
      <c r="W184" s="258" t="n">
        <f aca="false">100*T184/(T144+T164+T184)</f>
        <v>90.03438763314</v>
      </c>
      <c r="X184" s="246"/>
      <c r="Y184" s="240"/>
      <c r="Z184" s="245"/>
      <c r="AA184" s="245"/>
      <c r="AB184" s="245"/>
      <c r="AC184" s="245"/>
      <c r="AD184" s="240"/>
    </row>
    <row r="185" customFormat="false" ht="12.8" hidden="false" customHeight="false" outlineLevel="0" collapsed="false">
      <c r="B185" s="46"/>
      <c r="C185" s="50" t="s">
        <v>32</v>
      </c>
      <c r="D185" s="64" t="n">
        <v>4</v>
      </c>
      <c r="E185" s="64" t="s">
        <v>114</v>
      </c>
      <c r="F185" s="64" t="s">
        <v>185</v>
      </c>
      <c r="G185" s="255" t="s">
        <v>184</v>
      </c>
      <c r="H185" s="194" t="n">
        <f aca="false">H145</f>
        <v>19.9155</v>
      </c>
      <c r="I185" s="241" t="n">
        <v>25.5518</v>
      </c>
      <c r="J185" s="241" t="n">
        <v>45.3217</v>
      </c>
      <c r="K185" s="242" t="n">
        <f aca="false">J185-I185</f>
        <v>19.7699</v>
      </c>
      <c r="L185" s="121" t="n">
        <v>1.77</v>
      </c>
      <c r="M185" s="121" t="n">
        <v>9.5</v>
      </c>
      <c r="N185" s="128"/>
      <c r="O185" s="128"/>
      <c r="P185" s="243" t="n">
        <f aca="false">K185*L185/100</f>
        <v>0.34992723</v>
      </c>
      <c r="Q185" s="194"/>
      <c r="R185" s="194"/>
      <c r="S185" s="240"/>
      <c r="T185" s="194" t="n">
        <f aca="false">1000*P185/H185</f>
        <v>17.5705972734805</v>
      </c>
      <c r="U185" s="194"/>
      <c r="V185" s="194"/>
      <c r="W185" s="194" t="n">
        <f aca="false">100*T185/(T145+T165+T185)</f>
        <v>86.5360271352303</v>
      </c>
      <c r="X185" s="194"/>
      <c r="Y185" s="240"/>
      <c r="Z185" s="245"/>
      <c r="AA185" s="245"/>
      <c r="AB185" s="245"/>
      <c r="AC185" s="245"/>
      <c r="AD185" s="240"/>
    </row>
    <row r="186" customFormat="false" ht="12.8" hidden="false" customHeight="false" outlineLevel="0" collapsed="false">
      <c r="B186" s="46"/>
      <c r="C186" s="50"/>
      <c r="D186" s="64"/>
      <c r="E186" s="64"/>
      <c r="F186" s="64"/>
      <c r="G186" s="255"/>
      <c r="H186" s="194"/>
      <c r="I186" s="241"/>
      <c r="J186" s="241"/>
      <c r="K186" s="242"/>
      <c r="L186" s="121"/>
      <c r="M186" s="121"/>
      <c r="N186" s="128"/>
      <c r="O186" s="128"/>
      <c r="P186" s="243"/>
      <c r="Q186" s="194"/>
      <c r="R186" s="194"/>
      <c r="S186" s="240"/>
      <c r="T186" s="194"/>
      <c r="U186" s="194"/>
      <c r="V186" s="194"/>
      <c r="W186" s="194"/>
      <c r="X186" s="194"/>
      <c r="Y186" s="240"/>
      <c r="Z186" s="245"/>
      <c r="AA186" s="245"/>
      <c r="AB186" s="245"/>
      <c r="AC186" s="245"/>
      <c r="AD186" s="240"/>
    </row>
    <row r="187" customFormat="false" ht="12.8" hidden="false" customHeight="false" outlineLevel="0" collapsed="false">
      <c r="B187" s="46"/>
      <c r="C187" s="262"/>
      <c r="D187" s="263" t="s">
        <v>186</v>
      </c>
      <c r="E187" s="263"/>
      <c r="F187" s="263"/>
      <c r="G187" s="263"/>
      <c r="H187" s="263"/>
      <c r="I187" s="264"/>
      <c r="J187" s="264"/>
      <c r="K187" s="242"/>
      <c r="L187" s="122"/>
      <c r="M187" s="122"/>
      <c r="N187" s="122"/>
      <c r="O187" s="122"/>
      <c r="P187" s="245"/>
      <c r="Q187" s="194"/>
      <c r="R187" s="194"/>
      <c r="S187" s="194"/>
      <c r="T187" s="194"/>
      <c r="U187" s="194"/>
      <c r="V187" s="194"/>
      <c r="W187" s="194"/>
      <c r="X187" s="194"/>
      <c r="Y187" s="194"/>
      <c r="Z187" s="245"/>
      <c r="AA187" s="245"/>
      <c r="AB187" s="245"/>
      <c r="AC187" s="245"/>
      <c r="AD187" s="240"/>
    </row>
    <row r="188" customFormat="false" ht="12.8" hidden="false" customHeight="false" outlineLevel="0" collapsed="false">
      <c r="B188" s="46"/>
      <c r="C188" s="265"/>
      <c r="D188" s="263" t="s">
        <v>187</v>
      </c>
      <c r="E188" s="263"/>
      <c r="F188" s="263"/>
      <c r="G188" s="263"/>
      <c r="H188" s="263"/>
      <c r="I188" s="264"/>
      <c r="J188" s="264"/>
      <c r="K188" s="242"/>
      <c r="L188" s="122"/>
      <c r="M188" s="122"/>
      <c r="N188" s="122"/>
      <c r="O188" s="122"/>
      <c r="P188" s="245"/>
      <c r="Q188" s="194"/>
      <c r="R188" s="194"/>
      <c r="S188" s="194"/>
      <c r="T188" s="194"/>
      <c r="U188" s="194"/>
      <c r="V188" s="194"/>
      <c r="W188" s="194"/>
      <c r="X188" s="194"/>
      <c r="Y188" s="194"/>
      <c r="Z188" s="245"/>
      <c r="AA188" s="245"/>
      <c r="AB188" s="245"/>
      <c r="AC188" s="245"/>
      <c r="AD188" s="240"/>
    </row>
    <row r="189" customFormat="false" ht="12.8" hidden="false" customHeight="false" outlineLevel="0" collapsed="false">
      <c r="B189" s="46"/>
      <c r="C189" s="266"/>
      <c r="D189" s="263" t="s">
        <v>188</v>
      </c>
      <c r="E189" s="263"/>
      <c r="F189" s="263"/>
      <c r="G189" s="263"/>
      <c r="H189" s="263"/>
      <c r="I189" s="264"/>
      <c r="J189" s="264"/>
      <c r="K189" s="242"/>
      <c r="L189" s="122"/>
      <c r="M189" s="122"/>
      <c r="N189" s="122"/>
      <c r="O189" s="122"/>
      <c r="P189" s="245"/>
      <c r="Q189" s="194"/>
      <c r="R189" s="194"/>
      <c r="S189" s="194"/>
      <c r="T189" s="194"/>
      <c r="U189" s="194"/>
      <c r="V189" s="194"/>
      <c r="W189" s="194"/>
      <c r="X189" s="194"/>
      <c r="Y189" s="194"/>
      <c r="Z189" s="245"/>
      <c r="AA189" s="245"/>
      <c r="AB189" s="245"/>
      <c r="AC189" s="245"/>
      <c r="AD189" s="240"/>
    </row>
    <row r="190" customFormat="false" ht="12.8" hidden="false" customHeight="false" outlineLevel="0" collapsed="false">
      <c r="B190" s="88"/>
      <c r="C190" s="89"/>
      <c r="D190" s="158"/>
      <c r="E190" s="89"/>
      <c r="F190" s="89"/>
      <c r="G190" s="158"/>
      <c r="H190" s="159"/>
      <c r="I190" s="267"/>
      <c r="J190" s="267"/>
      <c r="K190" s="268"/>
      <c r="L190" s="159"/>
      <c r="M190" s="159"/>
      <c r="N190" s="159"/>
      <c r="O190" s="159"/>
      <c r="P190" s="267"/>
      <c r="Q190" s="159"/>
      <c r="R190" s="159"/>
      <c r="S190" s="159"/>
      <c r="T190" s="159"/>
      <c r="U190" s="159"/>
      <c r="V190" s="159"/>
      <c r="W190" s="159"/>
      <c r="X190" s="159"/>
      <c r="Y190" s="159"/>
      <c r="Z190" s="267"/>
      <c r="AA190" s="267"/>
      <c r="AB190" s="267"/>
      <c r="AC190" s="267"/>
      <c r="AD190" s="269"/>
    </row>
  </sheetData>
  <mergeCells count="9">
    <mergeCell ref="C3:P3"/>
    <mergeCell ref="C4:C5"/>
    <mergeCell ref="D4:D5"/>
    <mergeCell ref="E4:E5"/>
    <mergeCell ref="F4:F5"/>
    <mergeCell ref="Z4:AC4"/>
    <mergeCell ref="D187:H187"/>
    <mergeCell ref="D188:H188"/>
    <mergeCell ref="D189:H189"/>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landscape" blackAndWhite="false" draft="false" cellComments="none" horizontalDpi="300" verticalDpi="300" copies="1"/>
  <headerFooter differentFirst="false" differentOddEven="false">
    <oddHeader>&amp;C&amp;A</oddHeader>
    <oddFooter>&amp;CSeite &amp;P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2:AMJ77"/>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AN17" activeCellId="0" sqref="AN17"/>
    </sheetView>
  </sheetViews>
  <sheetFormatPr defaultColWidth="11.53515625" defaultRowHeight="12.8" zeroHeight="false" outlineLevelRow="0" outlineLevelCol="0"/>
  <cols>
    <col collapsed="false" customWidth="true" hidden="false" outlineLevel="0" max="1" min="1" style="1" width="3.43"/>
    <col collapsed="false" customWidth="true" hidden="false" outlineLevel="0" max="2" min="2" style="1" width="3.27"/>
    <col collapsed="false" customWidth="false" hidden="false" outlineLevel="0" max="3" min="3" style="1" width="11.52"/>
    <col collapsed="false" customWidth="true" hidden="false" outlineLevel="0" max="4" min="4" style="1" width="9.34"/>
    <col collapsed="false" customWidth="true" hidden="false" outlineLevel="0" max="5" min="5" style="3" width="4.29"/>
    <col collapsed="false" customWidth="true" hidden="false" outlineLevel="0" max="6" min="6" style="1" width="7.34"/>
    <col collapsed="false" customWidth="true" hidden="false" outlineLevel="0" max="7" min="7" style="1" width="8.33"/>
    <col collapsed="false" customWidth="true" hidden="false" outlineLevel="0" max="8" min="8" style="1" width="10.46"/>
    <col collapsed="false" customWidth="true" hidden="false" outlineLevel="0" max="9" min="9" style="1" width="6.56"/>
    <col collapsed="false" customWidth="true" hidden="false" outlineLevel="0" max="10" min="10" style="1" width="7.95"/>
    <col collapsed="false" customWidth="true" hidden="false" outlineLevel="0" max="11" min="11" style="1" width="11.81"/>
    <col collapsed="false" customWidth="true" hidden="false" outlineLevel="0" max="12" min="12" style="1" width="7.45"/>
    <col collapsed="false" customWidth="true" hidden="false" outlineLevel="0" max="13" min="13" style="1" width="7.34"/>
    <col collapsed="false" customWidth="true" hidden="false" outlineLevel="0" max="14" min="14" style="1" width="9.97"/>
    <col collapsed="false" customWidth="true" hidden="false" outlineLevel="0" max="15" min="15" style="1" width="7.07"/>
    <col collapsed="false" customWidth="true" hidden="false" outlineLevel="0" max="16" min="16" style="1" width="14.65"/>
    <col collapsed="false" customWidth="true" hidden="false" outlineLevel="0" max="17" min="17" style="1" width="7.36"/>
    <col collapsed="false" customWidth="true" hidden="false" outlineLevel="0" max="18" min="18" style="1" width="11.11"/>
    <col collapsed="false" customWidth="true" hidden="false" outlineLevel="0" max="19" min="19" style="1" width="7.79"/>
    <col collapsed="false" customWidth="true" hidden="false" outlineLevel="0" max="20" min="20" style="1" width="7.22"/>
    <col collapsed="false" customWidth="true" hidden="false" outlineLevel="0" max="21" min="21" style="1" width="8.61"/>
    <col collapsed="false" customWidth="true" hidden="false" outlineLevel="0" max="22" min="22" style="270" width="14.65"/>
    <col collapsed="false" customWidth="true" hidden="false" outlineLevel="0" max="23" min="23" style="271" width="9.87"/>
    <col collapsed="false" customWidth="true" hidden="false" outlineLevel="0" max="24" min="24" style="271" width="9.86"/>
    <col collapsed="false" customWidth="true" hidden="false" outlineLevel="0" max="25" min="25" style="1" width="8.71"/>
    <col collapsed="false" customWidth="true" hidden="false" outlineLevel="0" max="26" min="26" style="1" width="7.95"/>
    <col collapsed="false" customWidth="true" hidden="false" outlineLevel="0" max="27" min="27" style="1" width="8.08"/>
    <col collapsed="false" customWidth="true" hidden="false" outlineLevel="0" max="28" min="28" style="1" width="14.59"/>
    <col collapsed="false" customWidth="true" hidden="false" outlineLevel="0" max="29" min="29" style="1" width="7.08"/>
    <col collapsed="false" customWidth="true" hidden="false" outlineLevel="0" max="30" min="30" style="1" width="10.28"/>
    <col collapsed="false" customWidth="true" hidden="false" outlineLevel="0" max="31" min="31" style="1" width="7.36"/>
    <col collapsed="false" customWidth="true" hidden="false" outlineLevel="0" max="32" min="32" style="1" width="8.19"/>
    <col collapsed="false" customWidth="true" hidden="false" outlineLevel="0" max="33" min="33" style="1" width="7.92"/>
    <col collapsed="false" customWidth="true" hidden="false" outlineLevel="0" max="34" min="34" style="1" width="3.76"/>
    <col collapsed="false" customWidth="true" hidden="false" outlineLevel="0" max="35" min="35" style="1" width="2.77"/>
    <col collapsed="false" customWidth="false" hidden="false" outlineLevel="0" max="999" min="36" style="1" width="11.52"/>
  </cols>
  <sheetData>
    <row r="2" customFormat="false" ht="12.8" hidden="false" customHeight="false" outlineLevel="0" collapsed="false">
      <c r="B2" s="5"/>
      <c r="C2" s="6"/>
      <c r="D2" s="6"/>
      <c r="E2" s="7"/>
      <c r="F2" s="6"/>
      <c r="G2" s="6"/>
      <c r="H2" s="6"/>
      <c r="I2" s="6"/>
      <c r="J2" s="6"/>
      <c r="K2" s="6"/>
      <c r="L2" s="6"/>
      <c r="M2" s="6"/>
      <c r="N2" s="6"/>
      <c r="O2" s="6"/>
      <c r="P2" s="6"/>
      <c r="Q2" s="6"/>
      <c r="R2" s="6"/>
      <c r="S2" s="6"/>
      <c r="T2" s="6"/>
      <c r="U2" s="6"/>
      <c r="V2" s="272"/>
      <c r="W2" s="272"/>
      <c r="X2" s="272"/>
      <c r="Y2" s="272"/>
      <c r="Z2" s="272"/>
      <c r="AA2" s="272"/>
      <c r="AB2" s="6"/>
      <c r="AC2" s="6"/>
      <c r="AD2" s="6"/>
      <c r="AE2" s="6"/>
      <c r="AF2" s="6"/>
      <c r="AG2" s="6"/>
      <c r="AH2" s="9"/>
    </row>
    <row r="3" customFormat="false" ht="17" hidden="false" customHeight="true" outlineLevel="0" collapsed="false">
      <c r="B3" s="24"/>
      <c r="C3" s="77" t="s">
        <v>189</v>
      </c>
      <c r="D3" s="56"/>
      <c r="E3" s="273"/>
      <c r="F3" s="33"/>
      <c r="G3" s="274" t="s">
        <v>190</v>
      </c>
      <c r="H3" s="274"/>
      <c r="I3" s="274"/>
      <c r="J3" s="223" t="s">
        <v>191</v>
      </c>
      <c r="K3" s="223"/>
      <c r="L3" s="223"/>
      <c r="M3" s="274" t="s">
        <v>192</v>
      </c>
      <c r="N3" s="274"/>
      <c r="O3" s="274"/>
      <c r="P3" s="275"/>
      <c r="Q3" s="275"/>
      <c r="R3" s="275"/>
      <c r="S3" s="275"/>
      <c r="T3" s="275"/>
      <c r="U3" s="275"/>
      <c r="V3" s="276"/>
      <c r="W3" s="276"/>
      <c r="X3" s="276"/>
      <c r="Y3" s="276"/>
      <c r="Z3" s="276"/>
      <c r="AA3" s="276"/>
      <c r="AB3" s="277"/>
      <c r="AC3" s="277"/>
      <c r="AD3" s="277"/>
      <c r="AE3" s="277"/>
      <c r="AF3" s="277"/>
      <c r="AG3" s="277"/>
      <c r="AH3" s="33"/>
    </row>
    <row r="4" customFormat="false" ht="47.75" hidden="false" customHeight="true" outlineLevel="0" collapsed="false">
      <c r="B4" s="24"/>
      <c r="C4" s="14" t="s">
        <v>84</v>
      </c>
      <c r="D4" s="14" t="s">
        <v>193</v>
      </c>
      <c r="E4" s="13" t="s">
        <v>194</v>
      </c>
      <c r="F4" s="278" t="s">
        <v>85</v>
      </c>
      <c r="G4" s="279" t="s">
        <v>195</v>
      </c>
      <c r="H4" s="13" t="s">
        <v>196</v>
      </c>
      <c r="I4" s="278" t="s">
        <v>197</v>
      </c>
      <c r="J4" s="13" t="s">
        <v>195</v>
      </c>
      <c r="K4" s="13" t="s">
        <v>196</v>
      </c>
      <c r="L4" s="13" t="s">
        <v>198</v>
      </c>
      <c r="M4" s="279" t="s">
        <v>195</v>
      </c>
      <c r="N4" s="13" t="s">
        <v>196</v>
      </c>
      <c r="O4" s="278" t="s">
        <v>199</v>
      </c>
      <c r="P4" s="280" t="s">
        <v>200</v>
      </c>
      <c r="Q4" s="155" t="s">
        <v>92</v>
      </c>
      <c r="R4" s="155" t="s">
        <v>176</v>
      </c>
      <c r="S4" s="223" t="s">
        <v>201</v>
      </c>
      <c r="T4" s="223"/>
      <c r="U4" s="223"/>
      <c r="V4" s="280" t="s">
        <v>202</v>
      </c>
      <c r="W4" s="155" t="s">
        <v>92</v>
      </c>
      <c r="X4" s="155" t="s">
        <v>176</v>
      </c>
      <c r="Y4" s="281" t="s">
        <v>201</v>
      </c>
      <c r="Z4" s="281"/>
      <c r="AA4" s="281"/>
      <c r="AB4" s="224" t="s">
        <v>203</v>
      </c>
      <c r="AC4" s="155" t="s">
        <v>92</v>
      </c>
      <c r="AD4" s="155" t="s">
        <v>176</v>
      </c>
      <c r="AE4" s="223" t="s">
        <v>201</v>
      </c>
      <c r="AF4" s="223"/>
      <c r="AG4" s="223"/>
      <c r="AH4" s="33"/>
    </row>
    <row r="5" s="41" customFormat="true" ht="12.8" hidden="false" customHeight="false" outlineLevel="0" collapsed="false">
      <c r="B5" s="282"/>
      <c r="C5" s="115"/>
      <c r="D5" s="115"/>
      <c r="E5" s="283"/>
      <c r="F5" s="284"/>
      <c r="G5" s="285" t="s">
        <v>151</v>
      </c>
      <c r="H5" s="286" t="s">
        <v>151</v>
      </c>
      <c r="I5" s="287" t="s">
        <v>151</v>
      </c>
      <c r="J5" s="286" t="s">
        <v>151</v>
      </c>
      <c r="K5" s="286" t="s">
        <v>151</v>
      </c>
      <c r="L5" s="286" t="s">
        <v>151</v>
      </c>
      <c r="M5" s="285" t="s">
        <v>151</v>
      </c>
      <c r="N5" s="286" t="s">
        <v>151</v>
      </c>
      <c r="O5" s="287" t="s">
        <v>151</v>
      </c>
      <c r="P5" s="288" t="s">
        <v>17</v>
      </c>
      <c r="Q5" s="289" t="s">
        <v>204</v>
      </c>
      <c r="R5" s="289" t="s">
        <v>204</v>
      </c>
      <c r="S5" s="286" t="s">
        <v>205</v>
      </c>
      <c r="T5" s="286" t="s">
        <v>206</v>
      </c>
      <c r="U5" s="286" t="s">
        <v>207</v>
      </c>
      <c r="V5" s="288" t="s">
        <v>17</v>
      </c>
      <c r="W5" s="289" t="s">
        <v>204</v>
      </c>
      <c r="X5" s="289" t="s">
        <v>204</v>
      </c>
      <c r="Y5" s="286" t="s">
        <v>205</v>
      </c>
      <c r="Z5" s="286" t="s">
        <v>206</v>
      </c>
      <c r="AA5" s="287" t="s">
        <v>207</v>
      </c>
      <c r="AB5" s="289" t="s">
        <v>17</v>
      </c>
      <c r="AC5" s="289" t="s">
        <v>204</v>
      </c>
      <c r="AD5" s="289" t="s">
        <v>204</v>
      </c>
      <c r="AE5" s="286" t="s">
        <v>205</v>
      </c>
      <c r="AF5" s="286" t="s">
        <v>206</v>
      </c>
      <c r="AG5" s="286" t="s">
        <v>207</v>
      </c>
      <c r="AH5" s="80"/>
      <c r="ALL5" s="161"/>
      <c r="ALM5" s="161"/>
      <c r="ALN5" s="161"/>
      <c r="ALO5" s="161"/>
      <c r="ALP5" s="161"/>
      <c r="ALQ5" s="161"/>
      <c r="ALR5" s="161"/>
      <c r="ALS5" s="161"/>
      <c r="ALT5" s="161"/>
      <c r="ALU5" s="161"/>
      <c r="ALV5" s="161"/>
      <c r="ALW5" s="161"/>
      <c r="ALX5" s="161"/>
      <c r="ALY5" s="0"/>
      <c r="ALZ5" s="0"/>
      <c r="AMA5" s="0"/>
      <c r="AMB5" s="0"/>
      <c r="AMC5" s="0"/>
      <c r="AMD5" s="0"/>
      <c r="AME5" s="0"/>
      <c r="AMF5" s="0"/>
      <c r="AMG5" s="0"/>
      <c r="AMH5" s="0"/>
      <c r="AMI5" s="0"/>
      <c r="AMJ5" s="0"/>
    </row>
    <row r="6" customFormat="false" ht="12.8" hidden="false" customHeight="false" outlineLevel="0" collapsed="false">
      <c r="B6" s="24"/>
      <c r="C6" s="96" t="s">
        <v>21</v>
      </c>
      <c r="D6" s="96" t="s">
        <v>158</v>
      </c>
      <c r="E6" s="290" t="n">
        <v>1</v>
      </c>
      <c r="F6" s="291" t="s">
        <v>103</v>
      </c>
      <c r="G6" s="292" t="n">
        <v>58.5818</v>
      </c>
      <c r="H6" s="293" t="n">
        <v>59.9365</v>
      </c>
      <c r="I6" s="294" t="n">
        <f aca="false">H6-G6</f>
        <v>1.3547</v>
      </c>
      <c r="J6" s="292" t="n">
        <v>50.749</v>
      </c>
      <c r="K6" s="293" t="n">
        <v>51.526</v>
      </c>
      <c r="L6" s="294" t="n">
        <f aca="false">K6-J6</f>
        <v>0.777000000000001</v>
      </c>
      <c r="M6" s="293" t="n">
        <v>24.5206</v>
      </c>
      <c r="N6" s="293" t="n">
        <v>24.9211</v>
      </c>
      <c r="O6" s="294" t="n">
        <f aca="false">N6-M6</f>
        <v>0.400499999999997</v>
      </c>
      <c r="P6" s="295" t="n">
        <f aca="false">100*I6/(I6+L6+O6)</f>
        <v>53.4989337335124</v>
      </c>
      <c r="Q6" s="296" t="n">
        <f aca="false">AVERAGE(P6:P10)</f>
        <v>34.0329735592314</v>
      </c>
      <c r="R6" s="296" t="n">
        <f aca="false">STDEV(P6:P10)</f>
        <v>12.7438534215787</v>
      </c>
      <c r="S6" s="297" t="n">
        <f aca="false">TTEST(P6:P10,P11:P15,2,2)</f>
        <v>0.315038831162274</v>
      </c>
      <c r="T6" s="297" t="n">
        <f aca="false">TTEST(P6:P10,P16:P20,2,2)</f>
        <v>0.541165503722994</v>
      </c>
      <c r="U6" s="297" t="n">
        <f aca="false">TTEST(P6:P10,P21:P25,2,2)</f>
        <v>0.40168599991624</v>
      </c>
      <c r="V6" s="295" t="n">
        <f aca="false">100*L6/(I6+L6+O6)</f>
        <v>30.6847800331728</v>
      </c>
      <c r="W6" s="296" t="n">
        <f aca="false">AVERAGE(V6:V10)</f>
        <v>51.7787098107507</v>
      </c>
      <c r="X6" s="296" t="n">
        <f aca="false">STDEV(V6:V10)</f>
        <v>14.0715637227599</v>
      </c>
      <c r="Y6" s="297" t="n">
        <f aca="false">TTEST(V6:V10,V11:V15,2,2)</f>
        <v>0.402393646794794</v>
      </c>
      <c r="Z6" s="297" t="n">
        <f aca="false">TTEST(V6:V10,V16:V20,2,2)</f>
        <v>0.68700385003596</v>
      </c>
      <c r="AA6" s="298" t="n">
        <f aca="false">TTEST(V6:V10,V21:V25,2,2)</f>
        <v>0.565081305841136</v>
      </c>
      <c r="AB6" s="295" t="n">
        <f aca="false">100*O6/(I6+L6+O6)</f>
        <v>15.8162862333148</v>
      </c>
      <c r="AC6" s="296" t="n">
        <f aca="false">AVERAGE(AB6:AB10)</f>
        <v>14.1883166300179</v>
      </c>
      <c r="AD6" s="296" t="n">
        <f aca="false">STDEV(AB6:AB10)</f>
        <v>1.63538508146709</v>
      </c>
      <c r="AE6" s="297" t="n">
        <f aca="false">TTEST(AB6:AB10,AB11:AB15,2,2)</f>
        <v>0.67794093848908</v>
      </c>
      <c r="AF6" s="297" t="n">
        <f aca="false">TTEST(AB6:AB10,AB16:AB20,2,2)</f>
        <v>0.251712050951838</v>
      </c>
      <c r="AG6" s="297" t="n">
        <f aca="false">TTEST(AB6:AB10,AB21:AB25,2,2)</f>
        <v>0.408853959783472</v>
      </c>
      <c r="AH6" s="33"/>
    </row>
    <row r="7" customFormat="false" ht="14.65" hidden="false" customHeight="true" outlineLevel="0" collapsed="false">
      <c r="B7" s="24"/>
      <c r="C7" s="50"/>
      <c r="D7" s="50"/>
      <c r="E7" s="64" t="n">
        <v>2</v>
      </c>
      <c r="F7" s="299" t="s">
        <v>105</v>
      </c>
      <c r="G7" s="300" t="n">
        <v>41.7488</v>
      </c>
      <c r="H7" s="301" t="n">
        <v>42.4441</v>
      </c>
      <c r="I7" s="302" t="n">
        <f aca="false">H7-G7</f>
        <v>0.695299999999996</v>
      </c>
      <c r="J7" s="300" t="n">
        <v>71.7366</v>
      </c>
      <c r="K7" s="301" t="n">
        <v>74.3566</v>
      </c>
      <c r="L7" s="302" t="n">
        <f aca="false">K7-J7</f>
        <v>2.62</v>
      </c>
      <c r="M7" s="301" t="n">
        <v>28.1596</v>
      </c>
      <c r="N7" s="301" t="n">
        <v>28.6229</v>
      </c>
      <c r="O7" s="302" t="n">
        <f aca="false">N7-M7</f>
        <v>0.4633</v>
      </c>
      <c r="P7" s="303" t="n">
        <f aca="false">100*I7/(I7+L7+O7)</f>
        <v>18.4009950775418</v>
      </c>
      <c r="Q7" s="262" t="n">
        <f aca="false">QUARTILE(P6:P10,1)-(1.5*(QUARTILE(P6:P10,3)-QUARTILE(P6:P10,1)))</f>
        <v>21.6075761749621</v>
      </c>
      <c r="R7" s="165"/>
      <c r="S7" s="264"/>
      <c r="T7" s="264"/>
      <c r="U7" s="264"/>
      <c r="V7" s="303" t="n">
        <f aca="false">100*L7/(I7+L7+O7)</f>
        <v>69.3378499973536</v>
      </c>
      <c r="W7" s="262" t="n">
        <f aca="false">QUARTILE(V6:V10,1)-(1.5*(QUARTILE(V6:V10,3)-QUARTILE(V6:V10,1)))</f>
        <v>36.1597981245276</v>
      </c>
      <c r="X7" s="165"/>
      <c r="Y7" s="264"/>
      <c r="Z7" s="264"/>
      <c r="AA7" s="243"/>
      <c r="AB7" s="303" t="n">
        <f aca="false">100*O7/(I7+L7+O7)</f>
        <v>12.2611549251045</v>
      </c>
      <c r="AC7" s="262" t="n">
        <f aca="false">QUARTILE(AB6:AB10,1)-(1.5*(QUARTILE(AB6:AB10,3)-QUARTILE(AB6:AB10,1)))</f>
        <v>8.52570012320269</v>
      </c>
      <c r="AD7" s="165"/>
      <c r="AE7" s="264"/>
      <c r="AF7" s="264"/>
      <c r="AG7" s="264"/>
      <c r="AH7" s="33"/>
    </row>
    <row r="8" customFormat="false" ht="12.8" hidden="false" customHeight="false" outlineLevel="0" collapsed="false">
      <c r="B8" s="24"/>
      <c r="C8" s="50"/>
      <c r="D8" s="50"/>
      <c r="E8" s="64" t="s">
        <v>208</v>
      </c>
      <c r="F8" s="299" t="s">
        <v>108</v>
      </c>
      <c r="G8" s="300" t="n">
        <v>39.6602</v>
      </c>
      <c r="H8" s="301" t="n">
        <v>40.7022</v>
      </c>
      <c r="I8" s="302" t="n">
        <f aca="false">H8-G8</f>
        <v>1.04199999999999</v>
      </c>
      <c r="J8" s="300" t="n">
        <v>63.2286</v>
      </c>
      <c r="K8" s="301" t="n">
        <v>65.1669</v>
      </c>
      <c r="L8" s="302" t="n">
        <f aca="false">K8-J8</f>
        <v>1.9383</v>
      </c>
      <c r="M8" s="301" t="n">
        <v>25.1342</v>
      </c>
      <c r="N8" s="301" t="n">
        <v>25.5643</v>
      </c>
      <c r="O8" s="302" t="n">
        <f aca="false">N8-M8</f>
        <v>0.4301</v>
      </c>
      <c r="P8" s="303" t="n">
        <f aca="false">100*I8/(I8+L8+O8)</f>
        <v>30.553600750645</v>
      </c>
      <c r="Q8" s="262" t="n">
        <f aca="false">QUARTILE(P6:P10,3)+(1.5*(QUARTILE(P6:P10,3)-QUARTILE(P6:P10,1)))</f>
        <v>45.4636417101164</v>
      </c>
      <c r="R8" s="165"/>
      <c r="S8" s="264"/>
      <c r="T8" s="264"/>
      <c r="U8" s="264"/>
      <c r="V8" s="303" t="n">
        <f aca="false">100*L8/(I8+L8+O8)</f>
        <v>56.8349753694582</v>
      </c>
      <c r="W8" s="262" t="n">
        <f aca="false">QUARTILE(V6:V10,3)+(1.5*(QUARTILE(V6:V10,3)-QUARTILE(V6:V10,1)))</f>
        <v>69.2400817164166</v>
      </c>
      <c r="X8" s="165"/>
      <c r="Y8" s="264"/>
      <c r="Z8" s="264"/>
      <c r="AA8" s="243"/>
      <c r="AB8" s="303" t="n">
        <f aca="false">100*O8/(I8+L8+O8)</f>
        <v>12.6114238798968</v>
      </c>
      <c r="AC8" s="262" t="n">
        <f aca="false">QUARTILE(AB6:AB10,3)+(1.5*(QUARTILE(AB6:AB10,3)-QUARTILE(AB6:AB10,1)))</f>
        <v>19.420963474387</v>
      </c>
      <c r="AD8" s="165"/>
      <c r="AE8" s="264"/>
      <c r="AF8" s="264"/>
      <c r="AG8" s="264"/>
      <c r="AH8" s="33"/>
    </row>
    <row r="9" customFormat="false" ht="12.8" hidden="false" customHeight="false" outlineLevel="0" collapsed="false">
      <c r="B9" s="24"/>
      <c r="C9" s="50"/>
      <c r="D9" s="50"/>
      <c r="E9" s="64" t="s">
        <v>209</v>
      </c>
      <c r="F9" s="299" t="s">
        <v>111</v>
      </c>
      <c r="G9" s="300" t="n">
        <v>99.31</v>
      </c>
      <c r="H9" s="301" t="n">
        <v>100.3354</v>
      </c>
      <c r="I9" s="302" t="n">
        <f aca="false">H9-G9</f>
        <v>1.0254</v>
      </c>
      <c r="J9" s="300" t="n">
        <v>42.4717</v>
      </c>
      <c r="K9" s="301" t="n">
        <v>44.2294</v>
      </c>
      <c r="L9" s="302" t="n">
        <f aca="false">K9-J9</f>
        <v>1.7577</v>
      </c>
      <c r="M9" s="301" t="n">
        <v>19.3771</v>
      </c>
      <c r="N9" s="301" t="n">
        <v>19.8812</v>
      </c>
      <c r="O9" s="302" t="n">
        <f aca="false">N9-M9</f>
        <v>0.504100000000001</v>
      </c>
      <c r="P9" s="303" t="n">
        <f aca="false">100*I9/(I9+L9+O9)</f>
        <v>31.1937211000244</v>
      </c>
      <c r="Q9" s="265" t="n">
        <v>0.9697</v>
      </c>
      <c r="R9" s="165"/>
      <c r="S9" s="264"/>
      <c r="T9" s="264"/>
      <c r="U9" s="264"/>
      <c r="V9" s="303" t="n">
        <f aca="false">100*L9/(I9+L9+O9)</f>
        <v>53.4710391822827</v>
      </c>
      <c r="W9" s="265" t="n">
        <v>1</v>
      </c>
      <c r="X9" s="165"/>
      <c r="Y9" s="264"/>
      <c r="Z9" s="264"/>
      <c r="AA9" s="243"/>
      <c r="AB9" s="303" t="n">
        <f aca="false">100*O9/(I9+L9+O9)</f>
        <v>15.3352397176929</v>
      </c>
      <c r="AC9" s="265" t="n">
        <v>0.5103</v>
      </c>
      <c r="AD9" s="165"/>
      <c r="AE9" s="264"/>
      <c r="AF9" s="264"/>
      <c r="AG9" s="264"/>
      <c r="AH9" s="33"/>
    </row>
    <row r="10" customFormat="false" ht="12.8" hidden="false" customHeight="false" outlineLevel="0" collapsed="false">
      <c r="B10" s="24"/>
      <c r="C10" s="50"/>
      <c r="D10" s="50"/>
      <c r="E10" s="64" t="s">
        <v>210</v>
      </c>
      <c r="F10" s="299" t="s">
        <v>114</v>
      </c>
      <c r="G10" s="300" t="n">
        <v>55.4345</v>
      </c>
      <c r="H10" s="301" t="n">
        <v>56.6979</v>
      </c>
      <c r="I10" s="302" t="n">
        <f aca="false">H10-G10</f>
        <v>1.2634</v>
      </c>
      <c r="J10" s="300" t="n">
        <v>56.0809</v>
      </c>
      <c r="K10" s="301" t="n">
        <v>57.7611</v>
      </c>
      <c r="L10" s="302" t="n">
        <f aca="false">K10-J10</f>
        <v>1.6802</v>
      </c>
      <c r="M10" s="301" t="n">
        <v>27.3933</v>
      </c>
      <c r="N10" s="301" t="n">
        <v>27.9094</v>
      </c>
      <c r="O10" s="302" t="n">
        <f aca="false">N10-M10</f>
        <v>0.516100000000002</v>
      </c>
      <c r="P10" s="303" t="n">
        <f aca="false">100*I10/(I10+L10+O10)</f>
        <v>36.5176171344336</v>
      </c>
      <c r="Q10" s="165"/>
      <c r="R10" s="165"/>
      <c r="S10" s="264"/>
      <c r="T10" s="264"/>
      <c r="U10" s="264"/>
      <c r="V10" s="303" t="n">
        <f aca="false">100*L10/(I10+L10+O10)</f>
        <v>48.564904471486</v>
      </c>
      <c r="W10" s="165"/>
      <c r="X10" s="165"/>
      <c r="Y10" s="264"/>
      <c r="Z10" s="264"/>
      <c r="AA10" s="243"/>
      <c r="AB10" s="303" t="n">
        <f aca="false">100*O10/(I10+L10+O10)</f>
        <v>14.9174783940805</v>
      </c>
      <c r="AC10" s="165"/>
      <c r="AD10" s="165"/>
      <c r="AE10" s="264"/>
      <c r="AF10" s="264"/>
      <c r="AG10" s="264"/>
      <c r="AH10" s="33"/>
    </row>
    <row r="11" customFormat="false" ht="12.8" hidden="false" customHeight="false" outlineLevel="0" collapsed="false">
      <c r="B11" s="24"/>
      <c r="C11" s="50"/>
      <c r="D11" s="176" t="s">
        <v>159</v>
      </c>
      <c r="E11" s="247" t="n">
        <v>1</v>
      </c>
      <c r="F11" s="304" t="s">
        <v>103</v>
      </c>
      <c r="G11" s="305" t="n">
        <v>58.5808</v>
      </c>
      <c r="H11" s="306" t="n">
        <v>59.2579</v>
      </c>
      <c r="I11" s="307" t="n">
        <f aca="false">H11-G11</f>
        <v>0.677099999999996</v>
      </c>
      <c r="J11" s="305" t="n">
        <v>58.8849</v>
      </c>
      <c r="K11" s="306" t="n">
        <v>61.2994</v>
      </c>
      <c r="L11" s="307" t="n">
        <f aca="false">K11-J11</f>
        <v>2.4145</v>
      </c>
      <c r="M11" s="306" t="n">
        <v>29.3937</v>
      </c>
      <c r="N11" s="306" t="n">
        <v>30.1317</v>
      </c>
      <c r="O11" s="307" t="n">
        <f aca="false">N11-M11</f>
        <v>0.738</v>
      </c>
      <c r="P11" s="308" t="n">
        <f aca="false">100*I11/(I11+L11+O11)</f>
        <v>17.6806977229997</v>
      </c>
      <c r="Q11" s="182" t="n">
        <f aca="false">AVERAGE(P11:P15)</f>
        <v>27.3576416164219</v>
      </c>
      <c r="R11" s="182" t="n">
        <f aca="false">STDEV(P11:P15)</f>
        <v>5.61358436558539</v>
      </c>
      <c r="S11" s="253"/>
      <c r="T11" s="253"/>
      <c r="U11" s="253"/>
      <c r="V11" s="308" t="n">
        <f aca="false">100*L11/(I11+L11+O11)</f>
        <v>63.0483601420514</v>
      </c>
      <c r="W11" s="182" t="n">
        <f aca="false">AVERAGE(V11:V15)</f>
        <v>57.6574300854012</v>
      </c>
      <c r="X11" s="182" t="n">
        <f aca="false">STDEV(V11:V15)</f>
        <v>4.79865397895364</v>
      </c>
      <c r="Y11" s="253"/>
      <c r="Z11" s="253"/>
      <c r="AA11" s="251"/>
      <c r="AB11" s="308" t="n">
        <f aca="false">100*O11/(I11+L11+O11)</f>
        <v>19.2709421349488</v>
      </c>
      <c r="AC11" s="182" t="n">
        <f aca="false">AVERAGE(AB11:AB15)</f>
        <v>14.9849282981769</v>
      </c>
      <c r="AD11" s="182" t="n">
        <f aca="false">STDEV(AB11:AB15)</f>
        <v>3.79698700444146</v>
      </c>
      <c r="AE11" s="253"/>
      <c r="AF11" s="253"/>
      <c r="AG11" s="253"/>
      <c r="AH11" s="33"/>
    </row>
    <row r="12" customFormat="false" ht="12.8" hidden="false" customHeight="false" outlineLevel="0" collapsed="false">
      <c r="B12" s="24"/>
      <c r="C12" s="50"/>
      <c r="D12" s="50"/>
      <c r="E12" s="64" t="s">
        <v>211</v>
      </c>
      <c r="F12" s="299" t="s">
        <v>105</v>
      </c>
      <c r="G12" s="300" t="n">
        <v>41.748</v>
      </c>
      <c r="H12" s="301" t="n">
        <v>42.8842</v>
      </c>
      <c r="I12" s="302" t="n">
        <f aca="false">H12-G12</f>
        <v>1.1362</v>
      </c>
      <c r="J12" s="300" t="n">
        <v>57.7776</v>
      </c>
      <c r="K12" s="301" t="n">
        <v>59.9393</v>
      </c>
      <c r="L12" s="302" t="n">
        <f aca="false">K12-J12</f>
        <v>2.1617</v>
      </c>
      <c r="M12" s="301" t="n">
        <v>34.3066</v>
      </c>
      <c r="N12" s="301" t="n">
        <v>34.7794</v>
      </c>
      <c r="O12" s="302" t="n">
        <f aca="false">N12-M12</f>
        <v>0.472799999999999</v>
      </c>
      <c r="P12" s="303" t="n">
        <f aca="false">100*I12/(I12+L12+O12)</f>
        <v>30.1323361710028</v>
      </c>
      <c r="Q12" s="262" t="n">
        <f aca="false">QUARTILE(P11:P15,1)-(1.5*(QUARTILE(P11:P15,3)-QUARTILE(P11:P15,1)))</f>
        <v>24.3276670055448</v>
      </c>
      <c r="R12" s="165"/>
      <c r="S12" s="264"/>
      <c r="T12" s="264"/>
      <c r="U12" s="264"/>
      <c r="V12" s="303" t="n">
        <f aca="false">100*L12/(I12+L12+O12)</f>
        <v>57.3288779271753</v>
      </c>
      <c r="W12" s="262" t="n">
        <f aca="false">QUARTILE(V11:V15,1)-(1.5*(QUARTILE(V11:V15,3)-QUARTILE(V11:V15,1)))</f>
        <v>49.7804027363227</v>
      </c>
      <c r="X12" s="165"/>
      <c r="Y12" s="264"/>
      <c r="Z12" s="264"/>
      <c r="AA12" s="243"/>
      <c r="AB12" s="303" t="n">
        <f aca="false">100*O12/(I12+L12+O12)</f>
        <v>12.5387859018219</v>
      </c>
      <c r="AC12" s="262" t="n">
        <f aca="false">QUARTILE(AB11:AB15,1)-(1.5*(QUARTILE(AB11:AB15,3)-QUARTILE(AB11:AB15,1)))</f>
        <v>5.04981371205921</v>
      </c>
      <c r="AD12" s="165"/>
      <c r="AE12" s="264"/>
      <c r="AF12" s="264"/>
      <c r="AG12" s="264"/>
      <c r="AH12" s="33"/>
    </row>
    <row r="13" customFormat="false" ht="12.8" hidden="false" customHeight="false" outlineLevel="0" collapsed="false">
      <c r="B13" s="24"/>
      <c r="C13" s="50"/>
      <c r="D13" s="50"/>
      <c r="E13" s="64" t="s">
        <v>208</v>
      </c>
      <c r="F13" s="299" t="s">
        <v>108</v>
      </c>
      <c r="G13" s="300" t="n">
        <v>70.1174</v>
      </c>
      <c r="H13" s="301" t="n">
        <v>71.1836</v>
      </c>
      <c r="I13" s="302" t="n">
        <f aca="false">H13-G13</f>
        <v>1.0662</v>
      </c>
      <c r="J13" s="300" t="n">
        <v>52.7392</v>
      </c>
      <c r="K13" s="301" t="n">
        <v>54.962</v>
      </c>
      <c r="L13" s="302" t="n">
        <f aca="false">K13-J13</f>
        <v>2.22280000000001</v>
      </c>
      <c r="M13" s="301" t="n">
        <v>23.9049</v>
      </c>
      <c r="N13" s="301" t="n">
        <v>24.2646</v>
      </c>
      <c r="O13" s="302" t="n">
        <f aca="false">N13-M13</f>
        <v>0.3597</v>
      </c>
      <c r="P13" s="303" t="n">
        <f aca="false">100*I13/(I13+L13+O13)</f>
        <v>29.2213665141008</v>
      </c>
      <c r="Q13" s="262" t="n">
        <f aca="false">QUARTILE(P11:P15,3)+(1.5*(QUARTILE(P11:P15,3)-QUARTILE(P11:P15,1)))</f>
        <v>33.6151376702775</v>
      </c>
      <c r="R13" s="165"/>
      <c r="S13" s="264"/>
      <c r="T13" s="264"/>
      <c r="U13" s="264"/>
      <c r="V13" s="303" t="n">
        <f aca="false">100*L13/(I13+L13+O13)</f>
        <v>60.9203277879794</v>
      </c>
      <c r="W13" s="262" t="n">
        <f aca="false">QUARTILE(V11:V15,3)+(1.5*(QUARTILE(V11:V15,3)-QUARTILE(V11:V15,1)))</f>
        <v>67.6042828189735</v>
      </c>
      <c r="X13" s="165"/>
      <c r="Y13" s="264"/>
      <c r="Z13" s="264"/>
      <c r="AA13" s="243"/>
      <c r="AB13" s="303" t="n">
        <f aca="false">100*O13/(I13+L13+O13)</f>
        <v>9.85830569791981</v>
      </c>
      <c r="AC13" s="262" t="n">
        <f aca="false">QUARTILE(AB11:AB15,3)+(1.5*(QUARTILE(AB11:AB15,3)-QUARTILE(AB11:AB15,1)))</f>
        <v>25.0204062180931</v>
      </c>
      <c r="AD13" s="165"/>
      <c r="AE13" s="264"/>
      <c r="AF13" s="264"/>
      <c r="AG13" s="264"/>
      <c r="AH13" s="33"/>
    </row>
    <row r="14" customFormat="false" ht="12.8" hidden="false" customHeight="false" outlineLevel="0" collapsed="false">
      <c r="B14" s="24"/>
      <c r="C14" s="50"/>
      <c r="D14" s="50"/>
      <c r="E14" s="64" t="n">
        <v>4</v>
      </c>
      <c r="F14" s="299" t="s">
        <v>111</v>
      </c>
      <c r="G14" s="300" t="n">
        <v>70.7257</v>
      </c>
      <c r="H14" s="301" t="n">
        <v>71.9299</v>
      </c>
      <c r="I14" s="302" t="n">
        <f aca="false">H14-G14</f>
        <v>1.2042</v>
      </c>
      <c r="J14" s="300" t="n">
        <v>57.2819</v>
      </c>
      <c r="K14" s="301" t="n">
        <v>59.1866</v>
      </c>
      <c r="L14" s="302" t="n">
        <f aca="false">K14-J14</f>
        <v>1.9047</v>
      </c>
      <c r="M14" s="301" t="n">
        <v>26.8991</v>
      </c>
      <c r="N14" s="301" t="n">
        <v>27.56</v>
      </c>
      <c r="O14" s="302" t="n">
        <f aca="false">N14-M14</f>
        <v>0.660899999999998</v>
      </c>
      <c r="P14" s="303" t="n">
        <f aca="false">100*I14/(I14+L14+O14)</f>
        <v>31.9433391691867</v>
      </c>
      <c r="Q14" s="265" t="n">
        <v>0.8621</v>
      </c>
      <c r="R14" s="165"/>
      <c r="S14" s="264"/>
      <c r="T14" s="264"/>
      <c r="U14" s="264"/>
      <c r="V14" s="303" t="n">
        <f aca="false">100*L14/(I14+L14+O14)</f>
        <v>50.5252268024829</v>
      </c>
      <c r="W14" s="265" t="n">
        <v>0.8301</v>
      </c>
      <c r="X14" s="165"/>
      <c r="Y14" s="264"/>
      <c r="Z14" s="264"/>
      <c r="AA14" s="243"/>
      <c r="AB14" s="303" t="n">
        <f aca="false">100*O14/(I14+L14+O14)</f>
        <v>17.5314340283304</v>
      </c>
      <c r="AC14" s="265" t="n">
        <v>0.9983</v>
      </c>
      <c r="AD14" s="165"/>
      <c r="AE14" s="264"/>
      <c r="AF14" s="264"/>
      <c r="AG14" s="264"/>
      <c r="AH14" s="33"/>
    </row>
    <row r="15" customFormat="false" ht="12.8" hidden="false" customHeight="false" outlineLevel="0" collapsed="false">
      <c r="B15" s="24"/>
      <c r="C15" s="50"/>
      <c r="D15" s="50"/>
      <c r="E15" s="64" t="s">
        <v>210</v>
      </c>
      <c r="F15" s="299" t="s">
        <v>114</v>
      </c>
      <c r="G15" s="300" t="n">
        <v>50.7494</v>
      </c>
      <c r="H15" s="301" t="n">
        <v>51.7419</v>
      </c>
      <c r="I15" s="302" t="n">
        <f aca="false">H15-G15</f>
        <v>0.9925</v>
      </c>
      <c r="J15" s="300" t="n">
        <v>58.6302</v>
      </c>
      <c r="K15" s="301" t="n">
        <v>60.6453</v>
      </c>
      <c r="L15" s="302" t="n">
        <f aca="false">K15-J15</f>
        <v>2.0151</v>
      </c>
      <c r="M15" s="301" t="n">
        <v>28.8297</v>
      </c>
      <c r="N15" s="301" t="n">
        <v>29.3909</v>
      </c>
      <c r="O15" s="302" t="n">
        <f aca="false">N15-M15</f>
        <v>0.5612</v>
      </c>
      <c r="P15" s="303" t="n">
        <f aca="false">100*I15/(I15+L15+O15)</f>
        <v>27.8104685048196</v>
      </c>
      <c r="Q15" s="165"/>
      <c r="R15" s="165"/>
      <c r="S15" s="264"/>
      <c r="T15" s="264"/>
      <c r="U15" s="264"/>
      <c r="V15" s="303" t="n">
        <f aca="false">100*L15/(I15+L15+O15)</f>
        <v>56.4643577673167</v>
      </c>
      <c r="W15" s="165"/>
      <c r="X15" s="165"/>
      <c r="Y15" s="264"/>
      <c r="Z15" s="264"/>
      <c r="AA15" s="243"/>
      <c r="AB15" s="303" t="n">
        <f aca="false">100*O15/(I15+L15+O15)</f>
        <v>15.7251737278637</v>
      </c>
      <c r="AC15" s="165"/>
      <c r="AD15" s="165"/>
      <c r="AE15" s="264"/>
      <c r="AF15" s="264"/>
      <c r="AG15" s="264"/>
      <c r="AH15" s="33"/>
    </row>
    <row r="16" customFormat="false" ht="12.8" hidden="false" customHeight="false" outlineLevel="0" collapsed="false">
      <c r="B16" s="24"/>
      <c r="C16" s="50"/>
      <c r="D16" s="176" t="s">
        <v>160</v>
      </c>
      <c r="E16" s="247" t="s">
        <v>212</v>
      </c>
      <c r="F16" s="304" t="s">
        <v>103</v>
      </c>
      <c r="G16" s="305" t="n">
        <v>63.2286</v>
      </c>
      <c r="H16" s="306" t="n">
        <v>64.1899</v>
      </c>
      <c r="I16" s="307" t="n">
        <f aca="false">H16-G16</f>
        <v>0.961299999999994</v>
      </c>
      <c r="J16" s="305" t="n">
        <v>70.5997</v>
      </c>
      <c r="K16" s="306" t="n">
        <v>72.5546</v>
      </c>
      <c r="L16" s="307" t="n">
        <f aca="false">K16-J16</f>
        <v>1.9549</v>
      </c>
      <c r="M16" s="306" t="n">
        <v>24.5208</v>
      </c>
      <c r="N16" s="306" t="n">
        <v>25.0164</v>
      </c>
      <c r="O16" s="307" t="n">
        <f aca="false">N16-M16</f>
        <v>0.4956</v>
      </c>
      <c r="P16" s="308" t="n">
        <f aca="false">100*I16/(I16+L16+O16)</f>
        <v>28.175743009555</v>
      </c>
      <c r="Q16" s="182" t="n">
        <f aca="false">AVERAGE(P16:P20)</f>
        <v>38.4194362804142</v>
      </c>
      <c r="R16" s="182" t="n">
        <f aca="false">STDEV(P16:P20)</f>
        <v>8.58970628855325</v>
      </c>
      <c r="S16" s="253"/>
      <c r="T16" s="253"/>
      <c r="U16" s="253"/>
      <c r="V16" s="308" t="n">
        <f aca="false">100*L16/(I16+L16+O16)</f>
        <v>57.2982003634446</v>
      </c>
      <c r="W16" s="182" t="n">
        <f aca="false">AVERAGE(V16:V20)</f>
        <v>48.7017392331698</v>
      </c>
      <c r="X16" s="182" t="n">
        <f aca="false">STDEV(V16:V20)</f>
        <v>8.54639944502763</v>
      </c>
      <c r="Y16" s="253"/>
      <c r="Z16" s="253"/>
      <c r="AA16" s="251"/>
      <c r="AB16" s="308" t="n">
        <f aca="false">100*O16/(I16+L16+O16)</f>
        <v>14.5260566270004</v>
      </c>
      <c r="AC16" s="182" t="n">
        <f aca="false">AVERAGE(AB16:AB20)</f>
        <v>12.8788244864161</v>
      </c>
      <c r="AD16" s="182" t="n">
        <f aca="false">STDEV(AB16:AB20)</f>
        <v>1.71546249933962</v>
      </c>
      <c r="AE16" s="253"/>
      <c r="AF16" s="253"/>
      <c r="AG16" s="253"/>
      <c r="AH16" s="33"/>
    </row>
    <row r="17" customFormat="false" ht="12.8" hidden="false" customHeight="false" outlineLevel="0" collapsed="false">
      <c r="B17" s="24"/>
      <c r="C17" s="50"/>
      <c r="D17" s="50"/>
      <c r="E17" s="64" t="n">
        <v>2</v>
      </c>
      <c r="F17" s="299" t="s">
        <v>105</v>
      </c>
      <c r="G17" s="300" t="n">
        <v>42.469</v>
      </c>
      <c r="H17" s="301" t="n">
        <v>43.6502</v>
      </c>
      <c r="I17" s="302" t="n">
        <f aca="false">H17-G17</f>
        <v>1.1812</v>
      </c>
      <c r="J17" s="300" t="n">
        <v>41.6181</v>
      </c>
      <c r="K17" s="301" t="n">
        <v>43.8123</v>
      </c>
      <c r="L17" s="302" t="n">
        <f aca="false">K17-J17</f>
        <v>2.1942</v>
      </c>
      <c r="M17" s="301" t="n">
        <v>25.1345</v>
      </c>
      <c r="N17" s="301" t="n">
        <v>25.5555</v>
      </c>
      <c r="O17" s="302" t="n">
        <f aca="false">N17-M17</f>
        <v>0.420999999999999</v>
      </c>
      <c r="P17" s="303" t="n">
        <f aca="false">100*I17/(I17+L17+O17)</f>
        <v>31.1136866505109</v>
      </c>
      <c r="Q17" s="262" t="n">
        <f aca="false">QUARTILE(P16:P20,1)-(1.5*(QUARTILE(P16:P20,3)-QUARTILE(P16:P20,1)))</f>
        <v>12.5336748782369</v>
      </c>
      <c r="R17" s="165"/>
      <c r="S17" s="264"/>
      <c r="T17" s="264"/>
      <c r="U17" s="264"/>
      <c r="V17" s="303" t="n">
        <f aca="false">100*L17/(I17+L17+O17)</f>
        <v>57.7968601833317</v>
      </c>
      <c r="W17" s="262" t="n">
        <f aca="false">QUARTILE(V16:V20,1)-(1.5*(QUARTILE(V16:V20,3)-QUARTILE(V16:V20,1)))</f>
        <v>18.1084526852564</v>
      </c>
      <c r="X17" s="165"/>
      <c r="Y17" s="264"/>
      <c r="Z17" s="264"/>
      <c r="AA17" s="243"/>
      <c r="AB17" s="303" t="n">
        <f aca="false">100*O17/(I17+L17+O17)</f>
        <v>11.0894531661574</v>
      </c>
      <c r="AC17" s="262" t="n">
        <f aca="false">QUARTILE(AB16:AB20,1)-(1.5*(QUARTILE(AB16:AB20,3)-QUARTILE(AB16:AB20,1)))</f>
        <v>7.42865936417576</v>
      </c>
      <c r="AD17" s="165"/>
      <c r="AE17" s="264"/>
      <c r="AF17" s="264"/>
      <c r="AG17" s="264"/>
      <c r="AH17" s="33"/>
    </row>
    <row r="18" customFormat="false" ht="12.8" hidden="false" customHeight="false" outlineLevel="0" collapsed="false">
      <c r="B18" s="24"/>
      <c r="C18" s="50"/>
      <c r="D18" s="50"/>
      <c r="E18" s="64" t="s">
        <v>208</v>
      </c>
      <c r="F18" s="299" t="s">
        <v>108</v>
      </c>
      <c r="G18" s="300" t="n">
        <v>55.4348</v>
      </c>
      <c r="H18" s="301" t="n">
        <v>57.2595</v>
      </c>
      <c r="I18" s="302" t="n">
        <f aca="false">H18-G18</f>
        <v>1.8247</v>
      </c>
      <c r="J18" s="300" t="n">
        <v>42.247</v>
      </c>
      <c r="K18" s="301" t="n">
        <v>43.729</v>
      </c>
      <c r="L18" s="302" t="n">
        <f aca="false">K18-J18</f>
        <v>1.482</v>
      </c>
      <c r="M18" s="301" t="n">
        <v>27.2209</v>
      </c>
      <c r="N18" s="301" t="n">
        <v>27.6585</v>
      </c>
      <c r="O18" s="302" t="n">
        <f aca="false">N18-M18</f>
        <v>0.4376</v>
      </c>
      <c r="P18" s="303" t="n">
        <f aca="false">100*I18/(I18+L18+O18)</f>
        <v>48.7327404321235</v>
      </c>
      <c r="Q18" s="262" t="n">
        <f aca="false">QUARTILE(P16:P20,3)+(1.5*(QUARTILE(P16:P20,3)-QUARTILE(P16:P20,1)))</f>
        <v>62.0803729376344</v>
      </c>
      <c r="R18" s="165"/>
      <c r="S18" s="264"/>
      <c r="T18" s="264"/>
      <c r="U18" s="264"/>
      <c r="V18" s="303" t="n">
        <f aca="false">100*L18/(I18+L18+O18)</f>
        <v>39.5801618460059</v>
      </c>
      <c r="W18" s="262" t="n">
        <f aca="false">QUARTILE(V16:V20,3)+(1.5*(QUARTILE(V16:V20,3)-QUARTILE(V16:V20,1)))</f>
        <v>80.8120489703574</v>
      </c>
      <c r="X18" s="165"/>
      <c r="Y18" s="264"/>
      <c r="Z18" s="264"/>
      <c r="AA18" s="243"/>
      <c r="AB18" s="303" t="n">
        <f aca="false">100*O18/(I18+L18+O18)</f>
        <v>11.6870977218706</v>
      </c>
      <c r="AC18" s="262" t="n">
        <f aca="false">QUARTILE(AB16:AB20,3)+(1.5*(QUARTILE(AB16:AB20,3)-QUARTILE(AB16:AB20,1)))</f>
        <v>18.7844949846953</v>
      </c>
      <c r="AD18" s="165"/>
      <c r="AE18" s="264"/>
      <c r="AF18" s="264"/>
      <c r="AG18" s="264"/>
      <c r="AH18" s="33"/>
    </row>
    <row r="19" customFormat="false" ht="12.8" hidden="false" customHeight="false" outlineLevel="0" collapsed="false">
      <c r="B19" s="24"/>
      <c r="C19" s="50"/>
      <c r="D19" s="50"/>
      <c r="E19" s="64" t="s">
        <v>209</v>
      </c>
      <c r="F19" s="299" t="s">
        <v>111</v>
      </c>
      <c r="G19" s="300" t="n">
        <v>98.3466</v>
      </c>
      <c r="H19" s="301" t="n">
        <v>99.9726</v>
      </c>
      <c r="I19" s="302" t="n">
        <f aca="false">H19-G19</f>
        <v>1.626</v>
      </c>
      <c r="J19" s="300" t="n">
        <v>35.1507</v>
      </c>
      <c r="K19" s="301" t="n">
        <f aca="false">36.7065</f>
        <v>36.7065</v>
      </c>
      <c r="L19" s="302" t="n">
        <f aca="false">K19-J19</f>
        <v>1.5558</v>
      </c>
      <c r="M19" s="301" t="n">
        <v>26.3829</v>
      </c>
      <c r="N19" s="301" t="n">
        <v>26.939</v>
      </c>
      <c r="O19" s="302" t="n">
        <f aca="false">N19-M19</f>
        <v>0.556100000000001</v>
      </c>
      <c r="P19" s="303" t="n">
        <f aca="false">100*I19/(I19+L19+O19)</f>
        <v>43.5003611653603</v>
      </c>
      <c r="Q19" s="265" t="n">
        <v>0.8559</v>
      </c>
      <c r="R19" s="165"/>
      <c r="S19" s="264"/>
      <c r="T19" s="264"/>
      <c r="U19" s="264"/>
      <c r="V19" s="303" t="n">
        <f aca="false">100*L19/(I19+L19+O19)</f>
        <v>41.6223012921693</v>
      </c>
      <c r="W19" s="265" t="n">
        <v>0.637</v>
      </c>
      <c r="X19" s="165"/>
      <c r="Y19" s="264"/>
      <c r="Z19" s="264"/>
      <c r="AA19" s="243"/>
      <c r="AB19" s="303" t="n">
        <f aca="false">100*O19/(I19+L19+O19)</f>
        <v>14.8773375424704</v>
      </c>
      <c r="AC19" s="265" t="n">
        <v>0.709</v>
      </c>
      <c r="AD19" s="165"/>
      <c r="AE19" s="264"/>
      <c r="AF19" s="264"/>
      <c r="AG19" s="264"/>
      <c r="AH19" s="33"/>
    </row>
    <row r="20" customFormat="false" ht="12.8" hidden="false" customHeight="false" outlineLevel="0" collapsed="false">
      <c r="B20" s="24"/>
      <c r="C20" s="50"/>
      <c r="D20" s="168"/>
      <c r="E20" s="309" t="n">
        <v>5</v>
      </c>
      <c r="F20" s="310" t="s">
        <v>114</v>
      </c>
      <c r="G20" s="311" t="n">
        <v>56.0812</v>
      </c>
      <c r="H20" s="312" t="n">
        <v>57.499</v>
      </c>
      <c r="I20" s="313" t="n">
        <f aca="false">H20-G20</f>
        <v>1.4178</v>
      </c>
      <c r="J20" s="311" t="n">
        <v>56.5175</v>
      </c>
      <c r="K20" s="312" t="n">
        <v>58.1672</v>
      </c>
      <c r="L20" s="313" t="n">
        <f aca="false">K20-J20</f>
        <v>1.6497</v>
      </c>
      <c r="M20" s="312" t="n">
        <v>27.0493</v>
      </c>
      <c r="N20" s="312" t="n">
        <v>27.4761</v>
      </c>
      <c r="O20" s="313" t="n">
        <f aca="false">N20-M20</f>
        <v>0.4268</v>
      </c>
      <c r="P20" s="314" t="n">
        <f aca="false">100*I20/(I20+L20+O20)</f>
        <v>40.574650144521</v>
      </c>
      <c r="Q20" s="173"/>
      <c r="R20" s="173"/>
      <c r="S20" s="315"/>
      <c r="T20" s="315"/>
      <c r="U20" s="315"/>
      <c r="V20" s="314" t="n">
        <f aca="false">100*L20/(I20+L20+O20)</f>
        <v>47.2111724808975</v>
      </c>
      <c r="W20" s="173"/>
      <c r="X20" s="173"/>
      <c r="Y20" s="315"/>
      <c r="Z20" s="315"/>
      <c r="AA20" s="316"/>
      <c r="AB20" s="314" t="n">
        <f aca="false">100*O20/(I20+L20+O20)</f>
        <v>12.2141773745815</v>
      </c>
      <c r="AC20" s="173"/>
      <c r="AD20" s="173"/>
      <c r="AE20" s="315"/>
      <c r="AF20" s="315"/>
      <c r="AG20" s="315"/>
      <c r="AH20" s="33"/>
    </row>
    <row r="21" customFormat="false" ht="12.8" hidden="false" customHeight="false" outlineLevel="0" collapsed="false">
      <c r="B21" s="24"/>
      <c r="C21" s="50"/>
      <c r="D21" s="176" t="s">
        <v>161</v>
      </c>
      <c r="E21" s="247" t="s">
        <v>212</v>
      </c>
      <c r="F21" s="304" t="s">
        <v>103</v>
      </c>
      <c r="G21" s="305" t="n">
        <v>58.8813</v>
      </c>
      <c r="H21" s="306" t="n">
        <v>60.8774</v>
      </c>
      <c r="I21" s="307" t="n">
        <f aca="false">H21-G21</f>
        <v>1.9961</v>
      </c>
      <c r="J21" s="305" t="n">
        <v>70.6125</v>
      </c>
      <c r="K21" s="306" t="n">
        <v>72.0267</v>
      </c>
      <c r="L21" s="307" t="n">
        <f aca="false">K21-J21</f>
        <v>1.41420000000001</v>
      </c>
      <c r="M21" s="306" t="n">
        <v>29.3926</v>
      </c>
      <c r="N21" s="306" t="n">
        <v>30.1559</v>
      </c>
      <c r="O21" s="307" t="n">
        <f aca="false">N21-M21</f>
        <v>0.763299999999997</v>
      </c>
      <c r="P21" s="308" t="n">
        <f aca="false">100*I21/(I21+L21+O21)</f>
        <v>47.8268161778799</v>
      </c>
      <c r="Q21" s="182" t="n">
        <f aca="false">AVERAGE(P21:P25)</f>
        <v>40.544181605364</v>
      </c>
      <c r="R21" s="182" t="n">
        <f aca="false">STDEV(P21:P25)</f>
        <v>10.3874314055125</v>
      </c>
      <c r="S21" s="253"/>
      <c r="T21" s="253"/>
      <c r="U21" s="253"/>
      <c r="V21" s="308" t="n">
        <f aca="false">100*L21/(I21+L21+O21)</f>
        <v>33.884416331225</v>
      </c>
      <c r="W21" s="182" t="n">
        <f aca="false">AVERAGE(V21:V25)</f>
        <v>46.8818225341104</v>
      </c>
      <c r="X21" s="182" t="n">
        <f aca="false">STDEV(V21:V25)</f>
        <v>11.6184967827526</v>
      </c>
      <c r="Y21" s="253"/>
      <c r="Z21" s="253"/>
      <c r="AA21" s="251"/>
      <c r="AB21" s="308" t="n">
        <f aca="false">100*O21/(I21+L21+O21)</f>
        <v>18.2887674908951</v>
      </c>
      <c r="AC21" s="182" t="n">
        <f aca="false">AVERAGE(AB21:AB25)</f>
        <v>12.5739958605255</v>
      </c>
      <c r="AD21" s="182" t="n">
        <f aca="false">STDEV(AB21:AB25)</f>
        <v>3.80526730958806</v>
      </c>
      <c r="AE21" s="253"/>
      <c r="AF21" s="253"/>
      <c r="AG21" s="253"/>
      <c r="AH21" s="33"/>
    </row>
    <row r="22" customFormat="false" ht="12.8" hidden="false" customHeight="false" outlineLevel="0" collapsed="false">
      <c r="B22" s="24"/>
      <c r="C22" s="50"/>
      <c r="D22" s="50"/>
      <c r="E22" s="64" t="s">
        <v>211</v>
      </c>
      <c r="F22" s="299" t="s">
        <v>105</v>
      </c>
      <c r="G22" s="300" t="n">
        <v>56.6328</v>
      </c>
      <c r="H22" s="301" t="n">
        <v>57.7574</v>
      </c>
      <c r="I22" s="302" t="n">
        <f aca="false">H22-G22</f>
        <v>1.12459999999999</v>
      </c>
      <c r="J22" s="300" t="n">
        <v>41.6141</v>
      </c>
      <c r="K22" s="301" t="n">
        <v>44.0125</v>
      </c>
      <c r="L22" s="302" t="n">
        <f aca="false">K22-J22</f>
        <v>2.3984</v>
      </c>
      <c r="M22" s="301" t="n">
        <v>27.8394</v>
      </c>
      <c r="N22" s="301" t="n">
        <v>28.3921</v>
      </c>
      <c r="O22" s="302" t="n">
        <f aca="false">N22-M22</f>
        <v>0.552699999999998</v>
      </c>
      <c r="P22" s="303" t="n">
        <f aca="false">100*I22/(I22+L22+O22)</f>
        <v>27.5928061437298</v>
      </c>
      <c r="Q22" s="262" t="n">
        <f aca="false">QUARTILE(P21:P25,1)-(1.5*(QUARTILE(P21:P25,3)-QUARTILE(P21:P25,1)))</f>
        <v>16.7007052727084</v>
      </c>
      <c r="R22" s="165"/>
      <c r="S22" s="264"/>
      <c r="T22" s="264"/>
      <c r="U22" s="264"/>
      <c r="V22" s="303" t="n">
        <f aca="false">100*L22/(I22+L22+O22)</f>
        <v>58.8463331452267</v>
      </c>
      <c r="W22" s="262" t="n">
        <f aca="false">QUARTILE(V21:V25,1)-(1.5*(QUARTILE(V21:V25,3)-QUARTILE(V21:V25,1)))</f>
        <v>4.16889240079207</v>
      </c>
      <c r="X22" s="165"/>
      <c r="Y22" s="264"/>
      <c r="Z22" s="264"/>
      <c r="AA22" s="243"/>
      <c r="AB22" s="303" t="n">
        <f aca="false">100*O22/(I22+L22+O22)</f>
        <v>13.5608607110435</v>
      </c>
      <c r="AC22" s="262" t="n">
        <f aca="false">QUARTILE(AB21:AB25,1)-(1.5*(QUARTILE(AB21:AB25,3)-QUARTILE(AB21:AB25,1)))</f>
        <v>5.9904121463496</v>
      </c>
      <c r="AD22" s="165"/>
      <c r="AE22" s="264"/>
      <c r="AF22" s="264"/>
      <c r="AG22" s="264"/>
      <c r="AH22" s="33"/>
    </row>
    <row r="23" customFormat="false" ht="12.8" hidden="false" customHeight="false" outlineLevel="0" collapsed="false">
      <c r="B23" s="24"/>
      <c r="C23" s="50"/>
      <c r="D23" s="50"/>
      <c r="E23" s="64" t="n">
        <v>3</v>
      </c>
      <c r="F23" s="299" t="s">
        <v>108</v>
      </c>
      <c r="G23" s="300" t="n">
        <v>56.3457</v>
      </c>
      <c r="H23" s="301" t="n">
        <v>58.0061</v>
      </c>
      <c r="I23" s="302" t="n">
        <f aca="false">H23-G23</f>
        <v>1.6604</v>
      </c>
      <c r="J23" s="300" t="n">
        <v>40.9675</v>
      </c>
      <c r="K23" s="301" t="n">
        <v>43.1305</v>
      </c>
      <c r="L23" s="302" t="n">
        <f aca="false">K23-J23</f>
        <v>2.163</v>
      </c>
      <c r="M23" s="301" t="n">
        <v>33.0117</v>
      </c>
      <c r="N23" s="301" t="n">
        <v>33.5527</v>
      </c>
      <c r="O23" s="302" t="n">
        <f aca="false">N23-M23</f>
        <v>0.541000000000004</v>
      </c>
      <c r="P23" s="303" t="n">
        <f aca="false">100*I23/(I23+L23+O23)</f>
        <v>38.0441756026029</v>
      </c>
      <c r="Q23" s="262" t="n">
        <f aca="false">QUARTILE(P21:P25,3)+(1.5*(QUARTILE(P21:P25,3)-QUARTILE(P21:P25,1)))</f>
        <v>66.5024827209828</v>
      </c>
      <c r="R23" s="165"/>
      <c r="S23" s="264"/>
      <c r="T23" s="264"/>
      <c r="U23" s="264"/>
      <c r="V23" s="303" t="n">
        <f aca="false">100*L23/(I23+L23+O23)</f>
        <v>49.5600769865272</v>
      </c>
      <c r="W23" s="262" t="n">
        <f aca="false">QUARTILE(V21:V25,3)+(1.5*(QUARTILE(V21:V25,3)-QUARTILE(V21:V25,1)))</f>
        <v>87.9493938067812</v>
      </c>
      <c r="X23" s="165"/>
      <c r="Y23" s="264"/>
      <c r="Z23" s="264"/>
      <c r="AA23" s="243"/>
      <c r="AB23" s="303" t="n">
        <f aca="false">100*O23/(I23+L23+O23)</f>
        <v>12.3957474108698</v>
      </c>
      <c r="AC23" s="262" t="n">
        <f aca="false">QUARTILE(AB21:AB25,3)+(1.5*(QUARTILE(AB21:AB25,3)-QUARTILE(AB21:AB25,1)))</f>
        <v>18.1031298498598</v>
      </c>
      <c r="AD23" s="165"/>
      <c r="AE23" s="264"/>
      <c r="AF23" s="264"/>
      <c r="AG23" s="264"/>
      <c r="AH23" s="33"/>
    </row>
    <row r="24" customFormat="false" ht="12.8" hidden="false" customHeight="false" outlineLevel="0" collapsed="false">
      <c r="B24" s="24"/>
      <c r="C24" s="50"/>
      <c r="D24" s="50"/>
      <c r="E24" s="64" t="s">
        <v>209</v>
      </c>
      <c r="F24" s="299" t="s">
        <v>111</v>
      </c>
      <c r="G24" s="300" t="n">
        <v>57.2782</v>
      </c>
      <c r="H24" s="301" t="n">
        <v>58.5128</v>
      </c>
      <c r="I24" s="302" t="n">
        <f aca="false">H24-G24</f>
        <v>1.2346</v>
      </c>
      <c r="J24" s="300" t="n">
        <f aca="false">35.1472+28.8127</f>
        <v>63.9599</v>
      </c>
      <c r="K24" s="301" t="n">
        <f aca="false">36.6996+29.2332</f>
        <v>65.9328</v>
      </c>
      <c r="L24" s="302" t="n">
        <f aca="false">K24-J24</f>
        <v>1.9729</v>
      </c>
      <c r="M24" s="301" t="n">
        <v>26.8976</v>
      </c>
      <c r="N24" s="301" t="n">
        <v>27.18</v>
      </c>
      <c r="O24" s="302" t="n">
        <f aca="false">N24-M24</f>
        <v>0.282399999999999</v>
      </c>
      <c r="P24" s="303" t="n">
        <f aca="false">100*I24/(I24+L24+O24)</f>
        <v>35.3763718158113</v>
      </c>
      <c r="Q24" s="265" t="n">
        <v>0.6513</v>
      </c>
      <c r="R24" s="165"/>
      <c r="S24" s="264"/>
      <c r="T24" s="264"/>
      <c r="U24" s="264"/>
      <c r="V24" s="303" t="n">
        <f aca="false">100*L24/(I24+L24+O24)</f>
        <v>56.5317057795353</v>
      </c>
      <c r="W24" s="265" t="n">
        <v>0.2509</v>
      </c>
      <c r="X24" s="165"/>
      <c r="Y24" s="264"/>
      <c r="Z24" s="264"/>
      <c r="AA24" s="243"/>
      <c r="AB24" s="303" t="n">
        <f aca="false">100*O24/(I24+L24+O24)</f>
        <v>8.0919224046534</v>
      </c>
      <c r="AC24" s="265" t="n">
        <v>0.9991</v>
      </c>
      <c r="AD24" s="165"/>
      <c r="AE24" s="264"/>
      <c r="AF24" s="264"/>
      <c r="AG24" s="264"/>
      <c r="AH24" s="33"/>
    </row>
    <row r="25" customFormat="false" ht="12.8" hidden="false" customHeight="false" outlineLevel="0" collapsed="false">
      <c r="B25" s="24"/>
      <c r="C25" s="99"/>
      <c r="D25" s="99"/>
      <c r="E25" s="317" t="n">
        <v>5</v>
      </c>
      <c r="F25" s="318" t="s">
        <v>114</v>
      </c>
      <c r="G25" s="319" t="n">
        <v>57.2249</v>
      </c>
      <c r="H25" s="320" t="n">
        <v>59.2742</v>
      </c>
      <c r="I25" s="321" t="n">
        <f aca="false">H25-G25</f>
        <v>2.0493</v>
      </c>
      <c r="J25" s="319" t="n">
        <v>56.5122</v>
      </c>
      <c r="K25" s="320" t="n">
        <v>57.8657</v>
      </c>
      <c r="L25" s="321" t="n">
        <f aca="false">K25-J25</f>
        <v>1.3535</v>
      </c>
      <c r="M25" s="320" t="n">
        <v>23.6601</v>
      </c>
      <c r="N25" s="320" t="n">
        <v>24.0607</v>
      </c>
      <c r="O25" s="321" t="n">
        <f aca="false">N25-M25</f>
        <v>0.400600000000001</v>
      </c>
      <c r="P25" s="322" t="n">
        <f aca="false">100*I25/(I25+L25+O25)</f>
        <v>53.8807382867961</v>
      </c>
      <c r="Q25" s="188"/>
      <c r="R25" s="188"/>
      <c r="S25" s="323"/>
      <c r="T25" s="323"/>
      <c r="U25" s="323"/>
      <c r="V25" s="322" t="n">
        <f aca="false">100*L25/(I25+L25+O25)</f>
        <v>35.586580428038</v>
      </c>
      <c r="W25" s="188"/>
      <c r="X25" s="188"/>
      <c r="Y25" s="323"/>
      <c r="Z25" s="323"/>
      <c r="AA25" s="324"/>
      <c r="AB25" s="322" t="n">
        <f aca="false">100*O25/(I25+L25+O25)</f>
        <v>10.5326812851659</v>
      </c>
      <c r="AC25" s="188"/>
      <c r="AD25" s="188"/>
      <c r="AE25" s="323"/>
      <c r="AF25" s="323"/>
      <c r="AG25" s="323"/>
      <c r="AH25" s="33"/>
    </row>
    <row r="26" customFormat="false" ht="12.8" hidden="false" customHeight="false" outlineLevel="0" collapsed="false">
      <c r="B26" s="24"/>
      <c r="C26" s="96" t="s">
        <v>28</v>
      </c>
      <c r="D26" s="96" t="s">
        <v>158</v>
      </c>
      <c r="E26" s="290" t="n">
        <v>1</v>
      </c>
      <c r="F26" s="291" t="s">
        <v>103</v>
      </c>
      <c r="G26" s="292" t="n">
        <v>57.2661</v>
      </c>
      <c r="H26" s="293" t="n">
        <v>57.9528</v>
      </c>
      <c r="I26" s="294" t="n">
        <f aca="false">H26-G26</f>
        <v>0.686700000000002</v>
      </c>
      <c r="J26" s="292" t="n">
        <v>55.7725</v>
      </c>
      <c r="K26" s="293" t="n">
        <v>58.8797</v>
      </c>
      <c r="L26" s="294" t="n">
        <f aca="false">K26-J26</f>
        <v>3.1072</v>
      </c>
      <c r="M26" s="293" t="n">
        <v>56.1622</v>
      </c>
      <c r="N26" s="293" t="n">
        <v>56.388</v>
      </c>
      <c r="O26" s="294" t="n">
        <f aca="false">N26-M26</f>
        <v>0.2258</v>
      </c>
      <c r="P26" s="295" t="n">
        <f aca="false">100*I26/(I26+L26+O26)</f>
        <v>17.0833644301814</v>
      </c>
      <c r="Q26" s="296" t="n">
        <f aca="false">AVERAGE(P26:P30)</f>
        <v>16.7558454176787</v>
      </c>
      <c r="R26" s="296" t="n">
        <f aca="false">STDEV(P26:P30)</f>
        <v>2.49663009109863</v>
      </c>
      <c r="S26" s="325" t="n">
        <f aca="false">TTEST(P26:P30,P31:P35,2,2)</f>
        <v>0.0513378574412572</v>
      </c>
      <c r="T26" s="297" t="n">
        <f aca="false">TTEST(P26:P30,P36:P40,2,2)</f>
        <v>0.250186771899008</v>
      </c>
      <c r="U26" s="297" t="n">
        <f aca="false">TTEST(P26:P30,P41:P45,2,2)</f>
        <v>0.445695006216752</v>
      </c>
      <c r="V26" s="295" t="n">
        <f aca="false">100*L26/(I26+L26+O26)</f>
        <v>77.2993009428564</v>
      </c>
      <c r="W26" s="296" t="n">
        <f aca="false">AVERAGE(V26:V30)</f>
        <v>78.9147358953668</v>
      </c>
      <c r="X26" s="296" t="n">
        <f aca="false">STDEV(V26:V30)</f>
        <v>2.78568074210206</v>
      </c>
      <c r="Y26" s="326" t="n">
        <f aca="false">TTEST(V26:V30,V31:V35,2,2)</f>
        <v>0.0340001601294581</v>
      </c>
      <c r="Z26" s="297" t="n">
        <f aca="false">TTEST(V26:V30,V36:V40,2,2)</f>
        <v>0.162363770074195</v>
      </c>
      <c r="AA26" s="298" t="n">
        <f aca="false">TTEST(V26:V30,V41:V45,2,2)</f>
        <v>0.382310176437104</v>
      </c>
      <c r="AB26" s="295" t="n">
        <f aca="false">100*O26/(I26+L26+O26)</f>
        <v>5.6173346269622</v>
      </c>
      <c r="AC26" s="296" t="n">
        <f aca="false">AVERAGE(AB26:AB30)</f>
        <v>4.32941868695452</v>
      </c>
      <c r="AD26" s="296" t="n">
        <f aca="false">STDEV(AB26:AB30)</f>
        <v>0.752233248440263</v>
      </c>
      <c r="AE26" s="325" t="n">
        <f aca="false">TTEST(AB26:AB30,AB31:AB35,2,2)</f>
        <v>0.062484807853619</v>
      </c>
      <c r="AF26" s="326" t="n">
        <f aca="false">TTEST(AB26:AB30,AB36:AB40,2,2)</f>
        <v>0.0484501071115221</v>
      </c>
      <c r="AG26" s="297" t="n">
        <f aca="false">TTEST(AB26:AB30,AB41:AB45,2,2)</f>
        <v>0.523093305465252</v>
      </c>
      <c r="AH26" s="33"/>
    </row>
    <row r="27" customFormat="false" ht="12.8" hidden="false" customHeight="false" outlineLevel="0" collapsed="false">
      <c r="B27" s="24"/>
      <c r="C27" s="50"/>
      <c r="D27" s="50"/>
      <c r="E27" s="64" t="s">
        <v>211</v>
      </c>
      <c r="F27" s="299" t="s">
        <v>105</v>
      </c>
      <c r="G27" s="300" t="n">
        <v>59.0633</v>
      </c>
      <c r="H27" s="301" t="n">
        <v>59.6197</v>
      </c>
      <c r="I27" s="302" t="n">
        <f aca="false">H27-G27</f>
        <v>0.556400000000004</v>
      </c>
      <c r="J27" s="300" t="n">
        <v>59.9583</v>
      </c>
      <c r="K27" s="301" t="n">
        <v>63.2176</v>
      </c>
      <c r="L27" s="302" t="n">
        <f aca="false">K27-J27</f>
        <v>3.2593</v>
      </c>
      <c r="M27" s="301" t="n">
        <v>61.1106</v>
      </c>
      <c r="N27" s="301" t="n">
        <v>61.2725</v>
      </c>
      <c r="O27" s="302" t="n">
        <f aca="false">N27-M27</f>
        <v>0.161900000000003</v>
      </c>
      <c r="P27" s="303" t="n">
        <f aca="false">100*I27/(I27+L27+O27)</f>
        <v>13.9883346741755</v>
      </c>
      <c r="Q27" s="262" t="n">
        <f aca="false">QUARTILE(P26:P30,1)-(1.5*(QUARTILE(P26:P30,3)-QUARTILE(P26:P30,1)))</f>
        <v>8.85627183633164</v>
      </c>
      <c r="R27" s="165"/>
      <c r="S27" s="264"/>
      <c r="T27" s="264"/>
      <c r="U27" s="264"/>
      <c r="V27" s="303" t="n">
        <f aca="false">100*L27/(I27+L27+O27)</f>
        <v>81.9413716814158</v>
      </c>
      <c r="W27" s="262" t="n">
        <f aca="false">QUARTILE(V26:V30,1)-(1.5*(QUARTILE(V26:V30,3)-QUARTILE(V26:V30,1)))</f>
        <v>70.5623932135238</v>
      </c>
      <c r="X27" s="165"/>
      <c r="Y27" s="264"/>
      <c r="Z27" s="264"/>
      <c r="AA27" s="243"/>
      <c r="AB27" s="303" t="n">
        <f aca="false">100*O27/(I27+L27+O27)</f>
        <v>4.07029364440876</v>
      </c>
      <c r="AC27" s="262" t="n">
        <f aca="false">QUARTILE(AB26:AB30,1)-(1.5*(QUARTILE(AB26:AB30,3)-QUARTILE(AB26:AB30,1)))</f>
        <v>3.50210234076683</v>
      </c>
      <c r="AD27" s="165"/>
      <c r="AE27" s="264"/>
      <c r="AF27" s="264"/>
      <c r="AG27" s="264"/>
      <c r="AH27" s="33"/>
    </row>
    <row r="28" customFormat="false" ht="12.8" hidden="false" customHeight="false" outlineLevel="0" collapsed="false">
      <c r="B28" s="24"/>
      <c r="C28" s="50"/>
      <c r="D28" s="50"/>
      <c r="E28" s="64" t="s">
        <v>208</v>
      </c>
      <c r="F28" s="299" t="s">
        <v>108</v>
      </c>
      <c r="G28" s="300" t="n">
        <v>60.032</v>
      </c>
      <c r="H28" s="301" t="n">
        <v>60.6106</v>
      </c>
      <c r="I28" s="302" t="n">
        <f aca="false">H28-G28</f>
        <v>0.578600000000002</v>
      </c>
      <c r="J28" s="300" t="n">
        <v>68.8998</v>
      </c>
      <c r="K28" s="301" t="n">
        <v>72.1585</v>
      </c>
      <c r="L28" s="302" t="n">
        <f aca="false">K28-J28</f>
        <v>3.2587</v>
      </c>
      <c r="M28" s="301" t="n">
        <v>53.9338</v>
      </c>
      <c r="N28" s="301" t="n">
        <v>54.0807</v>
      </c>
      <c r="O28" s="302" t="n">
        <f aca="false">N28-M28</f>
        <v>0.146900000000002</v>
      </c>
      <c r="P28" s="303" t="n">
        <f aca="false">100*I28/(I28+L28+O28)</f>
        <v>14.5223633351739</v>
      </c>
      <c r="Q28" s="262" t="n">
        <f aca="false">QUARTILE(P26:P30,3)+(1.5*(QUARTILE(P26:P30,3)-QUARTILE(P26:P30,1)))</f>
        <v>23.9658491665778</v>
      </c>
      <c r="R28" s="165"/>
      <c r="S28" s="264"/>
      <c r="T28" s="264"/>
      <c r="U28" s="264"/>
      <c r="V28" s="303" t="n">
        <f aca="false">100*L28/(I28+L28+O28)</f>
        <v>81.7905727624115</v>
      </c>
      <c r="W28" s="262" t="n">
        <f aca="false">QUARTILE(V26:V30,3)+(1.5*(QUARTILE(V26:V30,3)-QUARTILE(V26:V30,1)))</f>
        <v>88.5274804917441</v>
      </c>
      <c r="X28" s="165"/>
      <c r="Y28" s="264"/>
      <c r="Z28" s="264"/>
      <c r="AA28" s="243"/>
      <c r="AB28" s="303" t="n">
        <f aca="false">100*O28/(I28+L28+O28)</f>
        <v>3.68706390241459</v>
      </c>
      <c r="AC28" s="262" t="n">
        <f aca="false">QUARTILE(AB26:AB30,3)+(1.5*(QUARTILE(AB26:AB30,3)-QUARTILE(AB26:AB30,1)))</f>
        <v>4.77029892022024</v>
      </c>
      <c r="AD28" s="165"/>
      <c r="AE28" s="264"/>
      <c r="AF28" s="264"/>
      <c r="AG28" s="264"/>
      <c r="AH28" s="33"/>
    </row>
    <row r="29" customFormat="false" ht="12.8" hidden="false" customHeight="false" outlineLevel="0" collapsed="false">
      <c r="B29" s="24"/>
      <c r="C29" s="50"/>
      <c r="D29" s="50"/>
      <c r="E29" s="64" t="n">
        <v>4</v>
      </c>
      <c r="F29" s="299" t="s">
        <v>111</v>
      </c>
      <c r="G29" s="300" t="n">
        <v>52.3972</v>
      </c>
      <c r="H29" s="301" t="n">
        <v>53.1448</v>
      </c>
      <c r="I29" s="302" t="n">
        <f aca="false">H29-G29</f>
        <v>0.747599999999999</v>
      </c>
      <c r="J29" s="300" t="n">
        <v>57.3784</v>
      </c>
      <c r="K29" s="301" t="n">
        <v>60.5536</v>
      </c>
      <c r="L29" s="302" t="n">
        <f aca="false">K29-J29</f>
        <v>3.1752</v>
      </c>
      <c r="M29" s="301" t="n">
        <v>58.5375</v>
      </c>
      <c r="N29" s="301" t="n">
        <v>58.7</v>
      </c>
      <c r="O29" s="302" t="n">
        <f aca="false">N29-M29</f>
        <v>0.162500000000001</v>
      </c>
      <c r="P29" s="303" t="n">
        <f aca="false">100*I29/(I29+L29+O29)</f>
        <v>18.2997576677355</v>
      </c>
      <c r="Q29" s="265" t="n">
        <v>0.324</v>
      </c>
      <c r="R29" s="165"/>
      <c r="S29" s="264"/>
      <c r="T29" s="264"/>
      <c r="U29" s="264"/>
      <c r="V29" s="303" t="n">
        <f aca="false">100*L29/(I29+L29+O29)</f>
        <v>77.7225662742027</v>
      </c>
      <c r="W29" s="265" t="n">
        <v>0.8714</v>
      </c>
      <c r="X29" s="165"/>
      <c r="Y29" s="264"/>
      <c r="Z29" s="264"/>
      <c r="AA29" s="243"/>
      <c r="AB29" s="303" t="n">
        <f aca="false">100*O29/(I29+L29+O29)</f>
        <v>3.97767605806186</v>
      </c>
      <c r="AC29" s="265" t="n">
        <v>0.6306</v>
      </c>
      <c r="AD29" s="165"/>
      <c r="AE29" s="264"/>
      <c r="AF29" s="264"/>
      <c r="AG29" s="264"/>
      <c r="AH29" s="33"/>
    </row>
    <row r="30" customFormat="false" ht="14.65" hidden="false" customHeight="true" outlineLevel="0" collapsed="false">
      <c r="B30" s="24"/>
      <c r="C30" s="50"/>
      <c r="D30" s="50"/>
      <c r="E30" s="64" t="s">
        <v>210</v>
      </c>
      <c r="F30" s="299" t="s">
        <v>114</v>
      </c>
      <c r="G30" s="300" t="n">
        <v>61.9552</v>
      </c>
      <c r="H30" s="301" t="n">
        <v>62.7465</v>
      </c>
      <c r="I30" s="302" t="n">
        <f aca="false">H30-G30</f>
        <v>0.7913</v>
      </c>
      <c r="J30" s="300" t="n">
        <v>57.5084</v>
      </c>
      <c r="K30" s="301" t="n">
        <v>60.5255</v>
      </c>
      <c r="L30" s="302" t="n">
        <f aca="false">K30-J30</f>
        <v>3.0171</v>
      </c>
      <c r="M30" s="301" t="n">
        <v>62.058</v>
      </c>
      <c r="N30" s="301" t="n">
        <v>62.2289</v>
      </c>
      <c r="O30" s="302" t="n">
        <f aca="false">N30-M30</f>
        <v>0.170900000000003</v>
      </c>
      <c r="P30" s="303" t="n">
        <f aca="false">100*I30/(I30+L30+O30)</f>
        <v>19.8854069811273</v>
      </c>
      <c r="Q30" s="165"/>
      <c r="R30" s="165"/>
      <c r="S30" s="264"/>
      <c r="T30" s="264"/>
      <c r="U30" s="264"/>
      <c r="V30" s="303" t="n">
        <f aca="false">100*L30/(I30+L30+O30)</f>
        <v>75.8198678159475</v>
      </c>
      <c r="W30" s="165"/>
      <c r="X30" s="165"/>
      <c r="Y30" s="264"/>
      <c r="Z30" s="264"/>
      <c r="AA30" s="243"/>
      <c r="AB30" s="303" t="n">
        <f aca="false">100*O30/(I30+L30+O30)</f>
        <v>4.29472520292522</v>
      </c>
      <c r="AC30" s="165"/>
      <c r="AD30" s="165"/>
      <c r="AE30" s="264"/>
      <c r="AF30" s="264"/>
      <c r="AG30" s="264"/>
      <c r="AH30" s="33"/>
    </row>
    <row r="31" customFormat="false" ht="12.8" hidden="false" customHeight="false" outlineLevel="0" collapsed="false">
      <c r="B31" s="24"/>
      <c r="C31" s="50"/>
      <c r="D31" s="176" t="s">
        <v>159</v>
      </c>
      <c r="E31" s="247" t="s">
        <v>212</v>
      </c>
      <c r="F31" s="304" t="s">
        <v>103</v>
      </c>
      <c r="G31" s="305" t="n">
        <v>52.154</v>
      </c>
      <c r="H31" s="306" t="n">
        <v>52.8286</v>
      </c>
      <c r="I31" s="307" t="n">
        <f aca="false">H31-G31</f>
        <v>0.674599999999998</v>
      </c>
      <c r="J31" s="305" t="n">
        <v>56.0797</v>
      </c>
      <c r="K31" s="306" t="n">
        <v>59.2509</v>
      </c>
      <c r="L31" s="307" t="n">
        <f aca="false">K31-J31</f>
        <v>3.1712</v>
      </c>
      <c r="M31" s="306" t="n">
        <v>71.7374</v>
      </c>
      <c r="N31" s="306" t="n">
        <f aca="false">71.9212-0.0393</f>
        <v>71.8819</v>
      </c>
      <c r="O31" s="307" t="n">
        <f aca="false">N31-M31</f>
        <v>0.144500000000008</v>
      </c>
      <c r="P31" s="308" t="n">
        <f aca="false">100*I31/(I31+L31+O31)</f>
        <v>16.9059970428288</v>
      </c>
      <c r="Q31" s="182" t="n">
        <f aca="false">AVERAGE(P31:P35)</f>
        <v>11.673331322199</v>
      </c>
      <c r="R31" s="182" t="n">
        <f aca="false">STDEV(P31:P35)</f>
        <v>4.29138626380328</v>
      </c>
      <c r="S31" s="253"/>
      <c r="T31" s="253"/>
      <c r="U31" s="253"/>
      <c r="V31" s="308" t="n">
        <f aca="false">100*L31/(I31+L31+O31)</f>
        <v>79.4727213492719</v>
      </c>
      <c r="W31" s="182" t="n">
        <f aca="false">AVERAGE(V31:V35)</f>
        <v>84.750870301099</v>
      </c>
      <c r="X31" s="182" t="n">
        <f aca="false">STDEV(V31:V35)</f>
        <v>4.28518700165724</v>
      </c>
      <c r="Y31" s="253"/>
      <c r="Z31" s="253"/>
      <c r="AA31" s="251"/>
      <c r="AB31" s="308" t="n">
        <f aca="false">100*O31/(I31+L31+O31)</f>
        <v>3.62128160789935</v>
      </c>
      <c r="AC31" s="182" t="n">
        <f aca="false">AVERAGE(AB31:AB35)</f>
        <v>3.57579837670202</v>
      </c>
      <c r="AD31" s="182" t="n">
        <f aca="false">STDEV(AB31:AB35)</f>
        <v>0.202584008460372</v>
      </c>
      <c r="AE31" s="253"/>
      <c r="AF31" s="253"/>
      <c r="AG31" s="253"/>
      <c r="AH31" s="33"/>
    </row>
    <row r="32" customFormat="false" ht="12.8" hidden="false" customHeight="false" outlineLevel="0" collapsed="false">
      <c r="B32" s="24"/>
      <c r="C32" s="50"/>
      <c r="D32" s="50"/>
      <c r="E32" s="64" t="n">
        <v>2</v>
      </c>
      <c r="F32" s="299" t="s">
        <v>105</v>
      </c>
      <c r="G32" s="300" t="n">
        <v>53.3283</v>
      </c>
      <c r="H32" s="301" t="n">
        <v>53.8957</v>
      </c>
      <c r="I32" s="302" t="n">
        <f aca="false">H32-G32</f>
        <v>0.567399999999999</v>
      </c>
      <c r="J32" s="300" t="n">
        <v>56.3501</v>
      </c>
      <c r="K32" s="301" t="n">
        <v>59.7038</v>
      </c>
      <c r="L32" s="302" t="n">
        <f aca="false">K32-J32</f>
        <v>3.3537</v>
      </c>
      <c r="M32" s="301" t="n">
        <v>55.4336</v>
      </c>
      <c r="N32" s="301" t="n">
        <f aca="false">55.5881-0.0177</f>
        <v>55.5704</v>
      </c>
      <c r="O32" s="302" t="n">
        <f aca="false">N32-M32</f>
        <v>0.136800000000001</v>
      </c>
      <c r="P32" s="303" t="n">
        <f aca="false">100*I32/(I32+L32+O32)</f>
        <v>13.9826018383893</v>
      </c>
      <c r="Q32" s="262" t="n">
        <f aca="false">QUARTILE(P31:P35,1)-(1.5*(QUARTILE(P31:P35,3)-QUARTILE(P31:P35,1)))</f>
        <v>4.56417150295722</v>
      </c>
      <c r="R32" s="165"/>
      <c r="S32" s="264"/>
      <c r="T32" s="264"/>
      <c r="U32" s="264"/>
      <c r="V32" s="303" t="n">
        <f aca="false">100*L32/(I32+L32+O32)</f>
        <v>82.6461963084354</v>
      </c>
      <c r="W32" s="262" t="n">
        <f aca="false">QUARTILE(V31:V35,1)-(1.5*(QUARTILE(V31:V35,3)-QUARTILE(V31:V35,1)))</f>
        <v>77.7910728982125</v>
      </c>
      <c r="X32" s="165"/>
      <c r="Y32" s="264"/>
      <c r="Z32" s="264"/>
      <c r="AA32" s="243"/>
      <c r="AB32" s="303" t="n">
        <f aca="false">100*O32/(I32+L32+O32)</f>
        <v>3.37120185317531</v>
      </c>
      <c r="AC32" s="262" t="n">
        <f aca="false">QUARTILE(AB31:AB35,1)-(1.5*(QUARTILE(AB31:AB35,3)-QUARTILE(AB31:AB35,1)))</f>
        <v>3.29356047278068</v>
      </c>
      <c r="AD32" s="165"/>
      <c r="AE32" s="264"/>
      <c r="AF32" s="264"/>
      <c r="AG32" s="264"/>
      <c r="AH32" s="33"/>
    </row>
    <row r="33" customFormat="false" ht="12.8" hidden="false" customHeight="false" outlineLevel="0" collapsed="false">
      <c r="B33" s="24"/>
      <c r="C33" s="50"/>
      <c r="D33" s="50"/>
      <c r="E33" s="64" t="s">
        <v>208</v>
      </c>
      <c r="F33" s="299" t="s">
        <v>108</v>
      </c>
      <c r="G33" s="300" t="n">
        <v>60.9458</v>
      </c>
      <c r="H33" s="301" t="n">
        <v>61.422</v>
      </c>
      <c r="I33" s="302" t="n">
        <f aca="false">H33-G33</f>
        <v>0.476199999999999</v>
      </c>
      <c r="J33" s="300" t="n">
        <v>58.8839</v>
      </c>
      <c r="K33" s="301" t="n">
        <v>62.2961</v>
      </c>
      <c r="L33" s="302" t="n">
        <f aca="false">K33-J33</f>
        <v>3.41220000000001</v>
      </c>
      <c r="M33" s="301" t="n">
        <v>57.2283</v>
      </c>
      <c r="N33" s="301" t="n">
        <v>57.3691</v>
      </c>
      <c r="O33" s="302" t="n">
        <f aca="false">N33-M33</f>
        <v>0.140800000000006</v>
      </c>
      <c r="P33" s="303" t="n">
        <f aca="false">100*I33/(I33+L33+O33)</f>
        <v>11.8187233197656</v>
      </c>
      <c r="Q33" s="262" t="n">
        <f aca="false">QUARTILE(P31:P35,3)+(1.5*(QUARTILE(P31:P35,3)-QUARTILE(P31:P35,1)))</f>
        <v>19.6336600396485</v>
      </c>
      <c r="R33" s="165"/>
      <c r="S33" s="264"/>
      <c r="T33" s="264"/>
      <c r="U33" s="264"/>
      <c r="V33" s="303" t="n">
        <f aca="false">100*L33/(I33+L33+O33)</f>
        <v>84.6867864588503</v>
      </c>
      <c r="W33" s="262" t="n">
        <f aca="false">QUARTILE(V31:V35,3)+(1.5*(QUARTILE(V31:V35,3)-QUARTILE(V31:V35,1)))</f>
        <v>90.7380686588069</v>
      </c>
      <c r="X33" s="165"/>
      <c r="Y33" s="264"/>
      <c r="Z33" s="264"/>
      <c r="AA33" s="243"/>
      <c r="AB33" s="303" t="n">
        <f aca="false">100*O33/(I33+L33+O33)</f>
        <v>3.49449022138403</v>
      </c>
      <c r="AC33" s="262" t="n">
        <f aca="false">QUARTILE(AB31:AB35,3)+(1.5*(QUARTILE(AB31:AB35,3)-QUARTILE(AB31:AB35,1)))</f>
        <v>3.81791428897055</v>
      </c>
      <c r="AD33" s="165"/>
      <c r="AE33" s="264"/>
      <c r="AF33" s="264"/>
      <c r="AG33" s="264"/>
      <c r="AH33" s="33"/>
    </row>
    <row r="34" customFormat="false" ht="12.8" hidden="false" customHeight="false" outlineLevel="0" collapsed="false">
      <c r="B34" s="24"/>
      <c r="C34" s="50"/>
      <c r="D34" s="50"/>
      <c r="E34" s="64" t="n">
        <v>4</v>
      </c>
      <c r="F34" s="299" t="s">
        <v>111</v>
      </c>
      <c r="G34" s="300" t="n">
        <v>65.2029</v>
      </c>
      <c r="H34" s="301" t="n">
        <v>65.6087</v>
      </c>
      <c r="I34" s="302" t="n">
        <f aca="false">H34-G34</f>
        <v>0.405799999999999</v>
      </c>
      <c r="J34" s="300" t="n">
        <v>56.6356</v>
      </c>
      <c r="K34" s="301" t="n">
        <v>60.0473</v>
      </c>
      <c r="L34" s="302" t="n">
        <f aca="false">K34-J34</f>
        <v>3.4117</v>
      </c>
      <c r="M34" s="301" t="n">
        <v>57.7833</v>
      </c>
      <c r="N34" s="301" t="n">
        <v>57.9383</v>
      </c>
      <c r="O34" s="302" t="n">
        <f aca="false">N34-M34</f>
        <v>0.155000000000001</v>
      </c>
      <c r="P34" s="303" t="n">
        <f aca="false">100*I34/(I34+L34+O34)</f>
        <v>10.2152297042165</v>
      </c>
      <c r="Q34" s="265" t="n">
        <v>0.9959</v>
      </c>
      <c r="R34" s="165"/>
      <c r="S34" s="264"/>
      <c r="T34" s="264"/>
      <c r="U34" s="264"/>
      <c r="V34" s="303" t="n">
        <f aca="false">100*L34/(I34+L34+O34)</f>
        <v>85.882945248584</v>
      </c>
      <c r="W34" s="265" t="n">
        <v>0.9915</v>
      </c>
      <c r="X34" s="165"/>
      <c r="Y34" s="264"/>
      <c r="Z34" s="264"/>
      <c r="AA34" s="243"/>
      <c r="AB34" s="327" t="n">
        <f aca="false">100*O34/(I34+L34+O34)</f>
        <v>3.90182504719952</v>
      </c>
      <c r="AC34" s="328" t="n">
        <v>0.09743</v>
      </c>
      <c r="AD34" s="165"/>
      <c r="AE34" s="264"/>
      <c r="AF34" s="264"/>
      <c r="AG34" s="264"/>
      <c r="AH34" s="33"/>
    </row>
    <row r="35" customFormat="false" ht="12.8" hidden="false" customHeight="false" outlineLevel="0" collapsed="false">
      <c r="B35" s="24"/>
      <c r="C35" s="50"/>
      <c r="D35" s="50"/>
      <c r="E35" s="64" t="s">
        <v>210</v>
      </c>
      <c r="F35" s="299" t="s">
        <v>114</v>
      </c>
      <c r="G35" s="300" t="n">
        <v>99.3103</v>
      </c>
      <c r="H35" s="301" t="n">
        <v>99.5293</v>
      </c>
      <c r="I35" s="302" t="n">
        <f aca="false">H35-G35</f>
        <v>0.219000000000008</v>
      </c>
      <c r="J35" s="300" t="n">
        <v>70.117</v>
      </c>
      <c r="K35" s="301" t="n">
        <v>73.7803</v>
      </c>
      <c r="L35" s="302" t="n">
        <f aca="false">K35-J35</f>
        <v>3.66329999999999</v>
      </c>
      <c r="M35" s="301" t="n">
        <v>52.7445</v>
      </c>
      <c r="N35" s="301" t="n">
        <v>52.8849</v>
      </c>
      <c r="O35" s="302" t="n">
        <f aca="false">N35-M35</f>
        <v>0.1404</v>
      </c>
      <c r="P35" s="303" t="n">
        <f aca="false">100*I35/(I35+L35+O35)</f>
        <v>5.44410470579482</v>
      </c>
      <c r="Q35" s="165"/>
      <c r="R35" s="165"/>
      <c r="S35" s="264"/>
      <c r="T35" s="264"/>
      <c r="U35" s="264"/>
      <c r="V35" s="303" t="n">
        <f aca="false">100*L35/(I35+L35+O35)</f>
        <v>91.0657021403533</v>
      </c>
      <c r="W35" s="165"/>
      <c r="X35" s="165"/>
      <c r="Y35" s="264"/>
      <c r="Z35" s="264"/>
      <c r="AA35" s="243"/>
      <c r="AB35" s="303" t="n">
        <f aca="false">100*O35/(I35+L35+O35)</f>
        <v>3.49019315385188</v>
      </c>
      <c r="AC35" s="165"/>
      <c r="AD35" s="165"/>
      <c r="AE35" s="264"/>
      <c r="AF35" s="264"/>
      <c r="AG35" s="264"/>
      <c r="AH35" s="33"/>
    </row>
    <row r="36" customFormat="false" ht="12.8" hidden="false" customHeight="false" outlineLevel="0" collapsed="false">
      <c r="B36" s="24"/>
      <c r="C36" s="50"/>
      <c r="D36" s="176" t="s">
        <v>160</v>
      </c>
      <c r="E36" s="247" t="s">
        <v>212</v>
      </c>
      <c r="F36" s="304" t="s">
        <v>103</v>
      </c>
      <c r="G36" s="305" t="n">
        <v>57.2661</v>
      </c>
      <c r="H36" s="306" t="n">
        <v>57.8728</v>
      </c>
      <c r="I36" s="307" t="n">
        <f aca="false">H36-G36</f>
        <v>0.606699999999996</v>
      </c>
      <c r="J36" s="305" t="n">
        <v>55.7725</v>
      </c>
      <c r="K36" s="306" t="n">
        <v>59.0694</v>
      </c>
      <c r="L36" s="307" t="n">
        <f aca="false">K36-J36</f>
        <v>3.2969</v>
      </c>
      <c r="M36" s="306" t="n">
        <v>56.1622</v>
      </c>
      <c r="N36" s="306" t="n">
        <v>56.3165</v>
      </c>
      <c r="O36" s="307" t="n">
        <f aca="false">N36-M36</f>
        <v>0.154299999999999</v>
      </c>
      <c r="P36" s="308" t="n">
        <f aca="false">100*I36/(I36+L36+O36)</f>
        <v>14.9510830725251</v>
      </c>
      <c r="Q36" s="182" t="n">
        <f aca="false">AVERAGE(P36:P40)</f>
        <v>13.8225462581138</v>
      </c>
      <c r="R36" s="182" t="n">
        <f aca="false">STDEV(P36:P40)</f>
        <v>4.66433066977458</v>
      </c>
      <c r="S36" s="253"/>
      <c r="T36" s="253"/>
      <c r="U36" s="253"/>
      <c r="V36" s="308" t="n">
        <f aca="false">100*L36/(I36+L36+O36)</f>
        <v>81.2464575272925</v>
      </c>
      <c r="W36" s="182" t="n">
        <f aca="false">AVERAGE(V36:V40)</f>
        <v>82.6900551160323</v>
      </c>
      <c r="X36" s="182" t="n">
        <f aca="false">STDEV(V36:V40)</f>
        <v>4.72526144025745</v>
      </c>
      <c r="Y36" s="253"/>
      <c r="Z36" s="253"/>
      <c r="AA36" s="251"/>
      <c r="AB36" s="308" t="n">
        <f aca="false">100*O36/(I36+L36+O36)</f>
        <v>3.80245940018234</v>
      </c>
      <c r="AC36" s="182" t="n">
        <f aca="false">AVERAGE(AB36:AB40)</f>
        <v>3.48739862585392</v>
      </c>
      <c r="AD36" s="182" t="n">
        <f aca="false">STDEV(AB36:AB40)</f>
        <v>0.298795823569927</v>
      </c>
      <c r="AE36" s="253"/>
      <c r="AF36" s="253"/>
      <c r="AG36" s="253"/>
      <c r="AH36" s="33"/>
    </row>
    <row r="37" customFormat="false" ht="12.8" hidden="false" customHeight="false" outlineLevel="0" collapsed="false">
      <c r="B37" s="24"/>
      <c r="C37" s="50"/>
      <c r="D37" s="50"/>
      <c r="E37" s="64" t="s">
        <v>211</v>
      </c>
      <c r="F37" s="299" t="s">
        <v>105</v>
      </c>
      <c r="G37" s="300" t="n">
        <v>61.9208</v>
      </c>
      <c r="H37" s="301" t="n">
        <v>62.2889</v>
      </c>
      <c r="I37" s="302" t="n">
        <f aca="false">H37-G37</f>
        <v>0.368099999999998</v>
      </c>
      <c r="J37" s="300" t="n">
        <v>55.2051</v>
      </c>
      <c r="K37" s="301" t="n">
        <v>58.6859</v>
      </c>
      <c r="L37" s="302" t="n">
        <f aca="false">K37-J37</f>
        <v>3.48079999999999</v>
      </c>
      <c r="M37" s="301" t="n">
        <v>54.579</v>
      </c>
      <c r="N37" s="301" t="n">
        <f aca="false">54.736-0.0271</f>
        <v>54.7089</v>
      </c>
      <c r="O37" s="302" t="n">
        <f aca="false">N37-M37</f>
        <v>0.129899999999999</v>
      </c>
      <c r="P37" s="303" t="n">
        <f aca="false">100*I37/(I37+L37+O37)</f>
        <v>9.25153312556547</v>
      </c>
      <c r="Q37" s="262" t="n">
        <f aca="false">QUARTILE(P36:P40,1)-(1.5*(QUARTILE(P36:P40,3)-QUARTILE(P36:P40,1)))</f>
        <v>1.58718333077757</v>
      </c>
      <c r="R37" s="165"/>
      <c r="S37" s="264"/>
      <c r="T37" s="264"/>
      <c r="U37" s="264"/>
      <c r="V37" s="303" t="n">
        <f aca="false">100*L37/(I37+L37+O37)</f>
        <v>87.4836634161054</v>
      </c>
      <c r="W37" s="262" t="n">
        <f aca="false">QUARTILE(V36:V40,1)-(1.5*(QUARTILE(V36:V40,3)-QUARTILE(V36:V40,1)))</f>
        <v>73.0476044080707</v>
      </c>
      <c r="X37" s="165"/>
      <c r="Y37" s="264"/>
      <c r="Z37" s="264"/>
      <c r="AA37" s="243"/>
      <c r="AB37" s="303" t="n">
        <f aca="false">100*O37/(I37+L37+O37)</f>
        <v>3.26480345832913</v>
      </c>
      <c r="AC37" s="262" t="n">
        <f aca="false">QUARTILE(AB36:AB40,1)-(1.5*(QUARTILE(AB36:AB40,3)-QUARTILE(AB36:AB40,1)))</f>
        <v>2.63883281972263</v>
      </c>
      <c r="AD37" s="165"/>
      <c r="AE37" s="264"/>
      <c r="AF37" s="264"/>
      <c r="AG37" s="264"/>
      <c r="AH37" s="33"/>
    </row>
    <row r="38" customFormat="false" ht="12.8" hidden="false" customHeight="false" outlineLevel="0" collapsed="false">
      <c r="B38" s="24"/>
      <c r="C38" s="50"/>
      <c r="D38" s="50"/>
      <c r="E38" s="64" t="n">
        <v>3</v>
      </c>
      <c r="F38" s="299" t="s">
        <v>108</v>
      </c>
      <c r="G38" s="300" t="n">
        <v>54.3075</v>
      </c>
      <c r="H38" s="301" t="n">
        <v>54.6915</v>
      </c>
      <c r="I38" s="302" t="n">
        <f aca="false">H38-G38</f>
        <v>0.384</v>
      </c>
      <c r="J38" s="300" t="n">
        <v>55.945</v>
      </c>
      <c r="K38" s="301" t="n">
        <v>59.4115</v>
      </c>
      <c r="L38" s="302" t="n">
        <f aca="false">K38-J38</f>
        <v>3.4665</v>
      </c>
      <c r="M38" s="301" t="n">
        <v>53.5479</v>
      </c>
      <c r="N38" s="301" t="n">
        <f aca="false">53.8042-0.1091</f>
        <v>53.6951</v>
      </c>
      <c r="O38" s="302" t="n">
        <f aca="false">N38-M38</f>
        <v>0.147200000000005</v>
      </c>
      <c r="P38" s="303" t="n">
        <f aca="false">100*I38/(I38+L38+O38)</f>
        <v>9.6055231758261</v>
      </c>
      <c r="Q38" s="262" t="n">
        <f aca="false">QUARTILE(P36:P40,3)+(1.5*(QUARTILE(P36:P40,3)-QUARTILE(P36:P40,1)))</f>
        <v>22.9694229175737</v>
      </c>
      <c r="R38" s="165"/>
      <c r="S38" s="264"/>
      <c r="T38" s="264"/>
      <c r="U38" s="264"/>
      <c r="V38" s="303" t="n">
        <f aca="false">100*L38/(I38+L38+O38)</f>
        <v>86.7123596067738</v>
      </c>
      <c r="W38" s="262" t="n">
        <f aca="false">QUARTILE(V36:V40,3)+(1.5*(QUARTILE(V36:V40,3)-QUARTILE(V36:V40,1)))</f>
        <v>94.9112127259956</v>
      </c>
      <c r="X38" s="165"/>
      <c r="Y38" s="264"/>
      <c r="Z38" s="264"/>
      <c r="AA38" s="243"/>
      <c r="AB38" s="303" t="n">
        <f aca="false">100*O38/(I38+L38+O38)</f>
        <v>3.68211721740013</v>
      </c>
      <c r="AC38" s="262" t="n">
        <f aca="false">QUARTILE(AB36:AB40,3)+(1.5*(QUARTILE(AB36:AB40,3)-QUARTILE(AB36:AB40,1)))</f>
        <v>4.30808785600663</v>
      </c>
      <c r="AD38" s="165"/>
      <c r="AE38" s="264"/>
      <c r="AF38" s="264"/>
      <c r="AG38" s="264"/>
      <c r="AH38" s="33"/>
    </row>
    <row r="39" customFormat="false" ht="12.8" hidden="false" customHeight="false" outlineLevel="0" collapsed="false">
      <c r="B39" s="24"/>
      <c r="C39" s="50"/>
      <c r="D39" s="50"/>
      <c r="E39" s="64" t="s">
        <v>209</v>
      </c>
      <c r="F39" s="299" t="s">
        <v>111</v>
      </c>
      <c r="G39" s="300" t="n">
        <v>52.3972</v>
      </c>
      <c r="H39" s="301" t="n">
        <v>53.212</v>
      </c>
      <c r="I39" s="302" t="n">
        <f aca="false">H39-G39</f>
        <v>0.814800000000005</v>
      </c>
      <c r="J39" s="300" t="n">
        <v>57.3784</v>
      </c>
      <c r="K39" s="301" t="n">
        <v>60.371</v>
      </c>
      <c r="L39" s="302" t="n">
        <f aca="false">K39-J39</f>
        <v>2.9926</v>
      </c>
      <c r="M39" s="301" t="n">
        <v>58.5375</v>
      </c>
      <c r="N39" s="301" t="n">
        <f aca="false">58.7312-0.0516</f>
        <v>58.6796</v>
      </c>
      <c r="O39" s="302" t="n">
        <f aca="false">N39-M39</f>
        <v>0.142099999999999</v>
      </c>
      <c r="P39" s="303" t="n">
        <f aca="false">100*I39/(I39+L39+O39)</f>
        <v>20.6304595518421</v>
      </c>
      <c r="Q39" s="265" t="n">
        <v>0.5745</v>
      </c>
      <c r="R39" s="165"/>
      <c r="S39" s="264"/>
      <c r="T39" s="264"/>
      <c r="U39" s="264"/>
      <c r="V39" s="303" t="n">
        <f aca="false">100*L39/(I39+L39+O39)</f>
        <v>75.7716166603367</v>
      </c>
      <c r="W39" s="265" t="n">
        <v>0.6532</v>
      </c>
      <c r="X39" s="165"/>
      <c r="Y39" s="264"/>
      <c r="Z39" s="264"/>
      <c r="AA39" s="243"/>
      <c r="AB39" s="303" t="n">
        <f aca="false">100*O39/(I39+L39+O39)</f>
        <v>3.59792378782122</v>
      </c>
      <c r="AC39" s="265" t="n">
        <v>0.4648</v>
      </c>
      <c r="AD39" s="165"/>
      <c r="AE39" s="264"/>
      <c r="AF39" s="264"/>
      <c r="AG39" s="264"/>
      <c r="AH39" s="33"/>
    </row>
    <row r="40" customFormat="false" ht="12.8" hidden="false" customHeight="false" outlineLevel="0" collapsed="false">
      <c r="B40" s="24"/>
      <c r="C40" s="50"/>
      <c r="D40" s="168"/>
      <c r="E40" s="309" t="n">
        <v>5</v>
      </c>
      <c r="F40" s="310" t="s">
        <v>114</v>
      </c>
      <c r="G40" s="311" t="n">
        <v>68.3218</v>
      </c>
      <c r="H40" s="312" t="n">
        <v>68.9036</v>
      </c>
      <c r="I40" s="313" t="n">
        <f aca="false">H40-G40</f>
        <v>0.581800000000001</v>
      </c>
      <c r="J40" s="311" t="n">
        <v>57.6848</v>
      </c>
      <c r="K40" s="312" t="n">
        <v>60.9453</v>
      </c>
      <c r="L40" s="313" t="n">
        <f aca="false">K40-J40</f>
        <v>3.2605</v>
      </c>
      <c r="M40" s="312" t="n">
        <v>54.126</v>
      </c>
      <c r="N40" s="312" t="n">
        <v>54.2485</v>
      </c>
      <c r="O40" s="313" t="n">
        <f aca="false">N40-M40</f>
        <v>0.122500000000002</v>
      </c>
      <c r="P40" s="314" t="n">
        <f aca="false">100*I40/(I40+L40+O40)</f>
        <v>14.6741323648103</v>
      </c>
      <c r="Q40" s="173"/>
      <c r="R40" s="173"/>
      <c r="S40" s="315"/>
      <c r="T40" s="315"/>
      <c r="U40" s="315"/>
      <c r="V40" s="314" t="n">
        <f aca="false">100*L40/(I40+L40+O40)</f>
        <v>82.2361783696529</v>
      </c>
      <c r="W40" s="173"/>
      <c r="X40" s="173"/>
      <c r="Y40" s="315"/>
      <c r="Z40" s="315"/>
      <c r="AA40" s="316"/>
      <c r="AB40" s="314" t="n">
        <f aca="false">100*O40/(I40+L40+O40)</f>
        <v>3.08968926553678</v>
      </c>
      <c r="AC40" s="173"/>
      <c r="AD40" s="173"/>
      <c r="AE40" s="315"/>
      <c r="AF40" s="315"/>
      <c r="AG40" s="315"/>
      <c r="AH40" s="33"/>
    </row>
    <row r="41" customFormat="false" ht="12.8" hidden="false" customHeight="false" outlineLevel="0" collapsed="false">
      <c r="B41" s="24"/>
      <c r="C41" s="50"/>
      <c r="D41" s="176" t="s">
        <v>161</v>
      </c>
      <c r="E41" s="247" t="n">
        <v>1</v>
      </c>
      <c r="F41" s="304" t="s">
        <v>103</v>
      </c>
      <c r="G41" s="305" t="n">
        <v>57.2661</v>
      </c>
      <c r="H41" s="306" t="n">
        <v>58.1262</v>
      </c>
      <c r="I41" s="307" t="n">
        <f aca="false">H41-G41</f>
        <v>0.860099999999996</v>
      </c>
      <c r="J41" s="305" t="n">
        <v>55.7725</v>
      </c>
      <c r="K41" s="306" t="n">
        <v>58.6224</v>
      </c>
      <c r="L41" s="307" t="n">
        <f aca="false">K41-J41</f>
        <v>2.8499</v>
      </c>
      <c r="M41" s="306" t="n">
        <v>56.1622</v>
      </c>
      <c r="N41" s="306" t="n">
        <v>56.3187</v>
      </c>
      <c r="O41" s="307" t="n">
        <f aca="false">N41-M41</f>
        <v>0.156500000000001</v>
      </c>
      <c r="P41" s="308" t="n">
        <f aca="false">100*I41/(I41+L41+O41)</f>
        <v>22.2449243501874</v>
      </c>
      <c r="Q41" s="182" t="n">
        <f aca="false">AVERAGE(P41:P45)</f>
        <v>14.3184177343922</v>
      </c>
      <c r="R41" s="182" t="n">
        <f aca="false">STDEV(P41:P45)</f>
        <v>6.32018966237576</v>
      </c>
      <c r="S41" s="253"/>
      <c r="T41" s="253"/>
      <c r="U41" s="253"/>
      <c r="V41" s="308" t="n">
        <f aca="false">100*L41/(I41+L41+O41)</f>
        <v>73.707487391698</v>
      </c>
      <c r="W41" s="182" t="n">
        <f aca="false">AVERAGE(V41:V45)</f>
        <v>81.720504158924</v>
      </c>
      <c r="X41" s="182" t="n">
        <f aca="false">STDEV(V41:V45)</f>
        <v>6.1888788974871</v>
      </c>
      <c r="Y41" s="253"/>
      <c r="Z41" s="253"/>
      <c r="AA41" s="251"/>
      <c r="AB41" s="308" t="n">
        <f aca="false">100*O41/(I41+L41+O41)</f>
        <v>4.04758825811461</v>
      </c>
      <c r="AC41" s="182" t="n">
        <f aca="false">AVERAGE(AB41:AB45)</f>
        <v>3.96107810668376</v>
      </c>
      <c r="AD41" s="182" t="n">
        <f aca="false">STDEV(AB41:AB45)</f>
        <v>0.977545114521967</v>
      </c>
      <c r="AE41" s="253"/>
      <c r="AF41" s="253"/>
      <c r="AG41" s="253"/>
      <c r="AH41" s="33"/>
    </row>
    <row r="42" customFormat="false" ht="12.8" hidden="false" customHeight="false" outlineLevel="0" collapsed="false">
      <c r="B42" s="24"/>
      <c r="C42" s="50"/>
      <c r="D42" s="50"/>
      <c r="E42" s="64" t="s">
        <v>211</v>
      </c>
      <c r="F42" s="299" t="s">
        <v>105</v>
      </c>
      <c r="G42" s="300" t="n">
        <v>59.0633</v>
      </c>
      <c r="H42" s="301" t="n">
        <v>59.3578</v>
      </c>
      <c r="I42" s="302" t="n">
        <f aca="false">H42-G42</f>
        <v>0.294499999999999</v>
      </c>
      <c r="J42" s="300" t="n">
        <v>59.9583</v>
      </c>
      <c r="K42" s="301" t="n">
        <v>63.4383</v>
      </c>
      <c r="L42" s="302" t="n">
        <f aca="false">K42-J42</f>
        <v>3.48</v>
      </c>
      <c r="M42" s="301" t="n">
        <v>61.1106</v>
      </c>
      <c r="N42" s="301" t="n">
        <v>61.3313</v>
      </c>
      <c r="O42" s="302" t="n">
        <f aca="false">N42-M42</f>
        <v>0.220700000000001</v>
      </c>
      <c r="P42" s="303" t="n">
        <f aca="false">100*I42/(I42+L42+O42)</f>
        <v>7.37134561473767</v>
      </c>
      <c r="Q42" s="262" t="n">
        <f aca="false">QUARTILE(P41:P45,1)-(1.5*(QUARTILE(P41:P45,3)-QUARTILE(P41:P45,1)))</f>
        <v>-2.50991042251116</v>
      </c>
      <c r="R42" s="165"/>
      <c r="S42" s="264"/>
      <c r="T42" s="264"/>
      <c r="U42" s="264"/>
      <c r="V42" s="303" t="n">
        <f aca="false">100*L42/(I42+L42+O42)</f>
        <v>87.1045254305166</v>
      </c>
      <c r="W42" s="262" t="n">
        <f aca="false">QUARTILE(V41:V45,1)-(1.5*(QUARTILE(V41:V45,3)-QUARTILE(V41:V45,1)))</f>
        <v>62.1019620984875</v>
      </c>
      <c r="X42" s="165"/>
      <c r="Y42" s="264"/>
      <c r="Z42" s="264"/>
      <c r="AA42" s="243"/>
      <c r="AB42" s="327" t="n">
        <f aca="false">100*O42/(I42+L42+O42)</f>
        <v>5.52412895474572</v>
      </c>
      <c r="AC42" s="262" t="n">
        <f aca="false">QUARTILE(AB41:AB45,1)-(1.5*(QUARTILE(AB41:AB45,3)-QUARTILE(AB41:AB45,1)))</f>
        <v>2.12613883855264</v>
      </c>
      <c r="AD42" s="165"/>
      <c r="AE42" s="264"/>
      <c r="AF42" s="264"/>
      <c r="AG42" s="264"/>
      <c r="AH42" s="33"/>
    </row>
    <row r="43" customFormat="false" ht="12.8" hidden="false" customHeight="false" outlineLevel="0" collapsed="false">
      <c r="B43" s="24"/>
      <c r="C43" s="50"/>
      <c r="D43" s="50"/>
      <c r="E43" s="64" t="s">
        <v>208</v>
      </c>
      <c r="F43" s="299" t="s">
        <v>108</v>
      </c>
      <c r="G43" s="300" t="n">
        <v>60.032</v>
      </c>
      <c r="H43" s="301" t="n">
        <v>60.4742</v>
      </c>
      <c r="I43" s="302" t="n">
        <f aca="false">H43-G43</f>
        <v>0.442200000000007</v>
      </c>
      <c r="J43" s="300" t="n">
        <v>68.8998</v>
      </c>
      <c r="K43" s="301" t="n">
        <v>72.422</v>
      </c>
      <c r="L43" s="302" t="n">
        <f aca="false">K43-J43</f>
        <v>3.5222</v>
      </c>
      <c r="M43" s="301" t="n">
        <v>53.9338</v>
      </c>
      <c r="N43" s="301" t="n">
        <v>54.0682</v>
      </c>
      <c r="O43" s="302" t="n">
        <f aca="false">N43-M43</f>
        <v>0.134399999999999</v>
      </c>
      <c r="P43" s="303" t="n">
        <f aca="false">100*I43/(I43+L43+O43)</f>
        <v>10.7885234702841</v>
      </c>
      <c r="Q43" s="262" t="n">
        <f aca="false">QUARTILE(P41:P45,3)+(1.5*(QUARTILE(P41:P45,3)-QUARTILE(P41:P45,1)))</f>
        <v>32.9525799582763</v>
      </c>
      <c r="R43" s="165"/>
      <c r="S43" s="264"/>
      <c r="T43" s="264"/>
      <c r="U43" s="264"/>
      <c r="V43" s="303" t="n">
        <f aca="false">100*L43/(I43+L43+O43)</f>
        <v>85.932468039426</v>
      </c>
      <c r="W43" s="262" t="n">
        <f aca="false">QUARTILE(V41:V45,3)+(1.5*(QUARTILE(V41:V45,3)-QUARTILE(V41:V45,1)))</f>
        <v>100.230771603989</v>
      </c>
      <c r="X43" s="165"/>
      <c r="Y43" s="264"/>
      <c r="Z43" s="264"/>
      <c r="AA43" s="243"/>
      <c r="AB43" s="303" t="n">
        <f aca="false">100*O43/(I43+L43+O43)</f>
        <v>3.27900849028982</v>
      </c>
      <c r="AC43" s="262" t="n">
        <f aca="false">QUARTILE(AB41:AB45,3)+(1.5*(QUARTILE(AB41:AB45,3)-QUARTILE(AB41:AB45,1)))</f>
        <v>5.20045790985179</v>
      </c>
      <c r="AD43" s="165"/>
      <c r="AE43" s="264"/>
      <c r="AF43" s="264"/>
      <c r="AG43" s="264"/>
      <c r="AH43" s="33"/>
    </row>
    <row r="44" customFormat="false" ht="12.8" hidden="false" customHeight="false" outlineLevel="0" collapsed="false">
      <c r="B44" s="24"/>
      <c r="C44" s="50"/>
      <c r="D44" s="50"/>
      <c r="E44" s="64" t="n">
        <v>4</v>
      </c>
      <c r="F44" s="299" t="s">
        <v>111</v>
      </c>
      <c r="G44" s="300" t="n">
        <v>52.3972</v>
      </c>
      <c r="H44" s="301" t="n">
        <v>52.8648</v>
      </c>
      <c r="I44" s="302" t="n">
        <f aca="false">H44-G44</f>
        <v>0.467600000000004</v>
      </c>
      <c r="J44" s="300" t="n">
        <v>57.3784</v>
      </c>
      <c r="K44" s="301" t="n">
        <v>60.8432</v>
      </c>
      <c r="L44" s="302" t="n">
        <f aca="false">K44-J44</f>
        <v>3.4648</v>
      </c>
      <c r="M44" s="301" t="n">
        <v>58.5375</v>
      </c>
      <c r="N44" s="301" t="n">
        <v>58.6595</v>
      </c>
      <c r="O44" s="302" t="n">
        <f aca="false">N44-M44</f>
        <v>0.122</v>
      </c>
      <c r="P44" s="303" t="n">
        <f aca="false">100*I44/(I44+L44+O44)</f>
        <v>11.5331491712708</v>
      </c>
      <c r="Q44" s="265" t="n">
        <v>0.3223</v>
      </c>
      <c r="R44" s="165"/>
      <c r="S44" s="264"/>
      <c r="T44" s="264"/>
      <c r="U44" s="264"/>
      <c r="V44" s="303" t="n">
        <f aca="false">100*L44/(I44+L44+O44)</f>
        <v>85.4577742699289</v>
      </c>
      <c r="W44" s="265" t="n">
        <v>0.1005</v>
      </c>
      <c r="X44" s="165"/>
      <c r="Y44" s="264"/>
      <c r="Z44" s="264"/>
      <c r="AA44" s="243"/>
      <c r="AB44" s="303" t="n">
        <f aca="false">100*O44/(I44+L44+O44)</f>
        <v>3.00907655880031</v>
      </c>
      <c r="AC44" s="265" t="n">
        <v>0.3862</v>
      </c>
      <c r="AD44" s="165"/>
      <c r="AE44" s="264"/>
      <c r="AF44" s="264"/>
      <c r="AG44" s="264"/>
      <c r="AH44" s="33"/>
    </row>
    <row r="45" customFormat="false" ht="12.8" hidden="false" customHeight="false" outlineLevel="0" collapsed="false">
      <c r="B45" s="24"/>
      <c r="C45" s="50"/>
      <c r="D45" s="50"/>
      <c r="E45" s="64" t="s">
        <v>210</v>
      </c>
      <c r="F45" s="318" t="s">
        <v>114</v>
      </c>
      <c r="G45" s="300" t="n">
        <v>61.9552</v>
      </c>
      <c r="H45" s="301" t="n">
        <v>62.7542</v>
      </c>
      <c r="I45" s="302" t="n">
        <f aca="false">H45-G45</f>
        <v>0.799</v>
      </c>
      <c r="J45" s="300" t="n">
        <v>57.5084</v>
      </c>
      <c r="K45" s="301" t="n">
        <v>60.6143</v>
      </c>
      <c r="L45" s="302" t="n">
        <f aca="false">K45-J45</f>
        <v>3.1059</v>
      </c>
      <c r="M45" s="301" t="n">
        <v>62.058</v>
      </c>
      <c r="N45" s="301" t="n">
        <v>62.2184</v>
      </c>
      <c r="O45" s="302" t="n">
        <f aca="false">N45-M45</f>
        <v>0.160400000000003</v>
      </c>
      <c r="P45" s="303" t="n">
        <f aca="false">100*I45/(I45+L45+O45)</f>
        <v>19.654146065481</v>
      </c>
      <c r="Q45" s="165"/>
      <c r="R45" s="165"/>
      <c r="S45" s="264"/>
      <c r="T45" s="264"/>
      <c r="U45" s="264"/>
      <c r="V45" s="303" t="n">
        <f aca="false">100*L45/(I45+L45+O45)</f>
        <v>76.4002656630506</v>
      </c>
      <c r="W45" s="165"/>
      <c r="X45" s="165"/>
      <c r="Y45" s="264"/>
      <c r="Z45" s="264"/>
      <c r="AA45" s="243"/>
      <c r="AB45" s="303" t="n">
        <f aca="false">100*O45/(I45+L45+O45)</f>
        <v>3.94558827146835</v>
      </c>
      <c r="AC45" s="165"/>
      <c r="AD45" s="165"/>
      <c r="AE45" s="264"/>
      <c r="AF45" s="264"/>
      <c r="AG45" s="264"/>
      <c r="AH45" s="33"/>
    </row>
    <row r="46" customFormat="false" ht="12.8" hidden="false" customHeight="false" outlineLevel="0" collapsed="false">
      <c r="B46" s="24"/>
      <c r="C46" s="96" t="s">
        <v>213</v>
      </c>
      <c r="D46" s="96" t="s">
        <v>158</v>
      </c>
      <c r="E46" s="290" t="s">
        <v>212</v>
      </c>
      <c r="F46" s="291" t="s">
        <v>103</v>
      </c>
      <c r="G46" s="292" t="n">
        <v>98.3455</v>
      </c>
      <c r="H46" s="293" t="n">
        <v>98.5585</v>
      </c>
      <c r="I46" s="294" t="n">
        <f aca="false">H46-G46</f>
        <v>0.212999999999994</v>
      </c>
      <c r="J46" s="292" t="n">
        <v>70.595</v>
      </c>
      <c r="K46" s="293" t="n">
        <v>73.1268</v>
      </c>
      <c r="L46" s="294" t="n">
        <f aca="false">K46-J46</f>
        <v>2.5318</v>
      </c>
      <c r="M46" s="293" t="n">
        <v>29.3936</v>
      </c>
      <c r="N46" s="293" t="n">
        <v>29.6353</v>
      </c>
      <c r="O46" s="294" t="n">
        <f aca="false">N46-M46</f>
        <v>0.241700000000002</v>
      </c>
      <c r="P46" s="295" t="n">
        <f aca="false">100*I46/(I46+L46+O46)</f>
        <v>7.1320944249119</v>
      </c>
      <c r="Q46" s="296" t="n">
        <f aca="false">AVERAGE(P46:P50)</f>
        <v>6.58681946327906</v>
      </c>
      <c r="R46" s="296" t="n">
        <f aca="false">STDEV(P46:P50)</f>
        <v>2.84784455146051</v>
      </c>
      <c r="S46" s="297" t="n">
        <f aca="false">TTEST(P46:P50,P51:P55,2,2)</f>
        <v>0.660417589437868</v>
      </c>
      <c r="T46" s="297" t="n">
        <f aca="false">TTEST(P46:P50,P56:P60,2,2)</f>
        <v>0.491352841940159</v>
      </c>
      <c r="U46" s="297" t="n">
        <f aca="false">TTEST(P46:P50,P61:P65,2,2)</f>
        <v>0.109677661971241</v>
      </c>
      <c r="V46" s="295" t="n">
        <f aca="false">100*L46/(I46+L46+O46)</f>
        <v>84.774820023439</v>
      </c>
      <c r="W46" s="296" t="n">
        <f aca="false">AVERAGE(V46:V50)</f>
        <v>86.3107769409802</v>
      </c>
      <c r="X46" s="296" t="n">
        <f aca="false">STDEV(V46:V50)</f>
        <v>2.85486838781122</v>
      </c>
      <c r="Y46" s="297" t="n">
        <f aca="false">TTEST(V46:V50,V51:V55,2,2)</f>
        <v>0.669378949815493</v>
      </c>
      <c r="Z46" s="297" t="n">
        <f aca="false">TTEST(V46:V50,V56:V60,2,2)</f>
        <v>0.720207942886393</v>
      </c>
      <c r="AA46" s="298" t="n">
        <f aca="false">TTEST(V46:V50,V61:V65,2,2)</f>
        <v>0.0676520302115473</v>
      </c>
      <c r="AB46" s="295" t="n">
        <f aca="false">100*O46/(I46+L46+O46)</f>
        <v>8.09308555164914</v>
      </c>
      <c r="AC46" s="296" t="n">
        <f aca="false">AVERAGE(AB46:AB50)</f>
        <v>7.10240359574074</v>
      </c>
      <c r="AD46" s="296" t="n">
        <f aca="false">STDEV(AB46:AB50)</f>
        <v>1.19867306822489</v>
      </c>
      <c r="AE46" s="297" t="n">
        <f aca="false">TTEST(AB46:AB50,AB51:AB55,2,2)</f>
        <v>0.97692868785856</v>
      </c>
      <c r="AF46" s="297" t="n">
        <f aca="false">TTEST(AB46:AB50,AB56:AB60,2,2)</f>
        <v>0.515560411272101</v>
      </c>
      <c r="AG46" s="297" t="n">
        <f aca="false">TTEST(AB46:AB50,AB61:AB65,2,2)</f>
        <v>0.459179297631273</v>
      </c>
      <c r="AH46" s="33"/>
    </row>
    <row r="47" customFormat="false" ht="12.8" hidden="false" customHeight="false" outlineLevel="0" collapsed="false">
      <c r="B47" s="24"/>
      <c r="C47" s="50"/>
      <c r="D47" s="50"/>
      <c r="E47" s="64" t="s">
        <v>211</v>
      </c>
      <c r="F47" s="299" t="s">
        <v>105</v>
      </c>
      <c r="G47" s="300" t="n">
        <v>42.2472</v>
      </c>
      <c r="H47" s="301" t="n">
        <v>42.3964</v>
      </c>
      <c r="I47" s="302" t="n">
        <f aca="false">H47-G47</f>
        <v>0.1492</v>
      </c>
      <c r="J47" s="300" t="n">
        <v>58.8866</v>
      </c>
      <c r="K47" s="301" t="n">
        <v>62.2891</v>
      </c>
      <c r="L47" s="302" t="n">
        <f aca="false">K47-J47</f>
        <v>3.4025</v>
      </c>
      <c r="M47" s="301" t="n">
        <v>35.1545</v>
      </c>
      <c r="N47" s="301" t="n">
        <v>35.3718</v>
      </c>
      <c r="O47" s="302" t="n">
        <f aca="false">N47-M47</f>
        <v>0.217300000000002</v>
      </c>
      <c r="P47" s="303" t="n">
        <f aca="false">100*I47/(I47+L47+O47)</f>
        <v>3.95860971079863</v>
      </c>
      <c r="Q47" s="262" t="n">
        <f aca="false">QUARTILE(P46:P50,1)-(1.5*(QUARTILE(P46:P50,3)-QUARTILE(P46:P50,1)))</f>
        <v>2.20152135716608</v>
      </c>
      <c r="R47" s="165"/>
      <c r="S47" s="264"/>
      <c r="T47" s="264"/>
      <c r="U47" s="264"/>
      <c r="V47" s="303" t="n">
        <f aca="false">100*L47/(I47+L47+O47)</f>
        <v>90.2759352613425</v>
      </c>
      <c r="W47" s="262" t="n">
        <f aca="false">QUARTILE(V46:V50,1)-(1.5*(QUARTILE(V46:V50,3)-QUARTILE(V46:V50,1)))</f>
        <v>80.5091663962823</v>
      </c>
      <c r="X47" s="165"/>
      <c r="Y47" s="264"/>
      <c r="Z47" s="264"/>
      <c r="AA47" s="243"/>
      <c r="AB47" s="303" t="n">
        <f aca="false">100*O47/(I47+L47+O47)</f>
        <v>5.76545502785889</v>
      </c>
      <c r="AC47" s="262" t="n">
        <f aca="false">QUARTILE(AB46:AB50,1)-(1.5*(QUARTILE(AB46:AB50,3)-QUARTILE(AB46:AB50,1)))</f>
        <v>2.8700229723184</v>
      </c>
      <c r="AD47" s="165"/>
      <c r="AE47" s="264"/>
      <c r="AF47" s="264"/>
      <c r="AG47" s="264"/>
      <c r="AH47" s="33"/>
    </row>
    <row r="48" customFormat="false" ht="12.8" hidden="false" customHeight="false" outlineLevel="0" collapsed="false">
      <c r="B48" s="24"/>
      <c r="C48" s="50"/>
      <c r="D48" s="50"/>
      <c r="E48" s="64" t="n">
        <v>3</v>
      </c>
      <c r="F48" s="299" t="s">
        <v>108</v>
      </c>
      <c r="G48" s="300" t="n">
        <v>49.7888</v>
      </c>
      <c r="H48" s="301" t="n">
        <v>50.0149</v>
      </c>
      <c r="I48" s="302" t="n">
        <f aca="false">H48-G48</f>
        <v>0.226099999999995</v>
      </c>
      <c r="J48" s="300" t="n">
        <v>52.74</v>
      </c>
      <c r="K48" s="301" t="n">
        <v>56.3319</v>
      </c>
      <c r="L48" s="302" t="n">
        <f aca="false">K48-J48</f>
        <v>3.5919</v>
      </c>
      <c r="M48" s="301" t="n">
        <v>23.905</v>
      </c>
      <c r="N48" s="301" t="n">
        <v>24.2564</v>
      </c>
      <c r="O48" s="302" t="n">
        <f aca="false">N48-M48</f>
        <v>0.351399999999998</v>
      </c>
      <c r="P48" s="303" t="n">
        <f aca="false">100*I48/(I48+L48+O48)</f>
        <v>5.4228426152443</v>
      </c>
      <c r="Q48" s="262" t="n">
        <f aca="false">QUARTILE(P46:P50,3)+(1.5*(QUARTILE(P46:P50,3)-QUARTILE(P46:P50,1)))</f>
        <v>10.0904382655594</v>
      </c>
      <c r="R48" s="165"/>
      <c r="S48" s="264"/>
      <c r="T48" s="264"/>
      <c r="U48" s="264"/>
      <c r="V48" s="303" t="n">
        <f aca="false">100*L48/(I48+L48+O48)</f>
        <v>86.1490861994533</v>
      </c>
      <c r="W48" s="262" t="n">
        <f aca="false">QUARTILE(V46:V50,3)+(1.5*(QUARTILE(V46:V50,3)-QUARTILE(V46:V50,1)))</f>
        <v>91.8842427353667</v>
      </c>
      <c r="X48" s="165"/>
      <c r="Y48" s="264"/>
      <c r="Z48" s="264"/>
      <c r="AA48" s="243"/>
      <c r="AB48" s="303" t="n">
        <f aca="false">100*O48/(I48+L48+O48)</f>
        <v>8.42807118530242</v>
      </c>
      <c r="AC48" s="262" t="n">
        <f aca="false">QUARTILE(AB46:AB50,3)+(1.5*(QUARTILE(AB46:AB50,3)-QUARTILE(AB46:AB50,1)))</f>
        <v>11.2269230992476</v>
      </c>
      <c r="AD48" s="165"/>
      <c r="AE48" s="264"/>
      <c r="AF48" s="264"/>
      <c r="AG48" s="264"/>
      <c r="AH48" s="33"/>
    </row>
    <row r="49" customFormat="false" ht="12.8" hidden="false" customHeight="false" outlineLevel="0" collapsed="false">
      <c r="B49" s="24"/>
      <c r="C49" s="50"/>
      <c r="D49" s="50"/>
      <c r="E49" s="64" t="s">
        <v>209</v>
      </c>
      <c r="F49" s="299" t="s">
        <v>111</v>
      </c>
      <c r="G49" s="300" t="n">
        <v>33.0416</v>
      </c>
      <c r="H49" s="301" t="n">
        <v>33.2238</v>
      </c>
      <c r="I49" s="302" t="n">
        <f aca="false">H49-G49</f>
        <v>0.182199999999995</v>
      </c>
      <c r="J49" s="300" t="n">
        <v>56.351</v>
      </c>
      <c r="K49" s="301" t="n">
        <v>59.4449</v>
      </c>
      <c r="L49" s="302" t="n">
        <f aca="false">K49-J49</f>
        <v>3.0939</v>
      </c>
      <c r="M49" s="301" t="n">
        <v>26.8989</v>
      </c>
      <c r="N49" s="301" t="n">
        <v>27.1539</v>
      </c>
      <c r="O49" s="302" t="n">
        <f aca="false">N49-M49</f>
        <v>0.254999999999999</v>
      </c>
      <c r="P49" s="303" t="n">
        <f aca="false">100*I49/(I49+L49+O49)</f>
        <v>5.15986519781357</v>
      </c>
      <c r="Q49" s="265" t="n">
        <v>0.8923</v>
      </c>
      <c r="R49" s="165"/>
      <c r="S49" s="264"/>
      <c r="T49" s="264"/>
      <c r="U49" s="264"/>
      <c r="V49" s="303" t="n">
        <f aca="false">100*L49/(I49+L49+O49)</f>
        <v>87.61858910821</v>
      </c>
      <c r="W49" s="265" t="n">
        <v>0.9228</v>
      </c>
      <c r="X49" s="165"/>
      <c r="Y49" s="264"/>
      <c r="Z49" s="264"/>
      <c r="AA49" s="243"/>
      <c r="AB49" s="303" t="n">
        <f aca="false">100*O49/(I49+L49+O49)</f>
        <v>7.22154569397637</v>
      </c>
      <c r="AC49" s="265" t="n">
        <v>0.093</v>
      </c>
      <c r="AD49" s="165"/>
      <c r="AE49" s="264"/>
      <c r="AF49" s="264"/>
      <c r="AG49" s="264"/>
      <c r="AH49" s="33"/>
    </row>
    <row r="50" customFormat="false" ht="12.8" hidden="false" customHeight="false" outlineLevel="0" collapsed="false">
      <c r="B50" s="24"/>
      <c r="C50" s="50"/>
      <c r="D50" s="50"/>
      <c r="E50" s="64" t="n">
        <v>5</v>
      </c>
      <c r="F50" s="299" t="s">
        <v>114</v>
      </c>
      <c r="G50" s="300" t="n">
        <v>56.5181</v>
      </c>
      <c r="H50" s="301" t="n">
        <v>56.9673</v>
      </c>
      <c r="I50" s="302" t="n">
        <f aca="false">H50-G50</f>
        <v>0.449200000000005</v>
      </c>
      <c r="J50" s="300" t="n">
        <v>58.6304</v>
      </c>
      <c r="K50" s="301" t="n">
        <v>61.9308</v>
      </c>
      <c r="L50" s="302" t="n">
        <f aca="false">K50-J50</f>
        <v>3.3004</v>
      </c>
      <c r="M50" s="301" t="n">
        <v>23.6608</v>
      </c>
      <c r="N50" s="301" t="n">
        <v>23.9003</v>
      </c>
      <c r="O50" s="302" t="n">
        <f aca="false">N50-M50</f>
        <v>0.239500000000003</v>
      </c>
      <c r="P50" s="303" t="n">
        <f aca="false">100*I50/(I50+L50+O50)</f>
        <v>11.2606853676269</v>
      </c>
      <c r="Q50" s="165"/>
      <c r="R50" s="165"/>
      <c r="S50" s="264"/>
      <c r="T50" s="264"/>
      <c r="U50" s="264"/>
      <c r="V50" s="303" t="n">
        <f aca="false">100*L50/(I50+L50+O50)</f>
        <v>82.7354541124563</v>
      </c>
      <c r="W50" s="165"/>
      <c r="X50" s="165"/>
      <c r="Y50" s="264"/>
      <c r="Z50" s="264"/>
      <c r="AA50" s="243"/>
      <c r="AB50" s="303" t="n">
        <f aca="false">100*O50/(I50+L50+O50)</f>
        <v>6.00386051991685</v>
      </c>
      <c r="AC50" s="165"/>
      <c r="AD50" s="165"/>
      <c r="AE50" s="264"/>
      <c r="AF50" s="264"/>
      <c r="AG50" s="264"/>
      <c r="AH50" s="33"/>
    </row>
    <row r="51" customFormat="false" ht="12.8" hidden="false" customHeight="false" outlineLevel="0" collapsed="false">
      <c r="B51" s="24"/>
      <c r="C51" s="50"/>
      <c r="D51" s="176" t="s">
        <v>159</v>
      </c>
      <c r="E51" s="247" t="n">
        <v>1</v>
      </c>
      <c r="F51" s="304" t="s">
        <v>103</v>
      </c>
      <c r="G51" s="305" t="n">
        <v>63.229</v>
      </c>
      <c r="H51" s="306" t="n">
        <v>63.5377</v>
      </c>
      <c r="I51" s="307" t="n">
        <f aca="false">H51-G51</f>
        <v>0.308700000000002</v>
      </c>
      <c r="J51" s="305" t="n">
        <v>70.5954</v>
      </c>
      <c r="K51" s="306" t="n">
        <v>74.0665</v>
      </c>
      <c r="L51" s="307" t="n">
        <f aca="false">K51-J51</f>
        <v>3.47110000000001</v>
      </c>
      <c r="M51" s="306" t="n">
        <v>24.521</v>
      </c>
      <c r="N51" s="306" t="n">
        <v>24.8117</v>
      </c>
      <c r="O51" s="307" t="n">
        <f aca="false">N51-M51</f>
        <v>0.290699999999998</v>
      </c>
      <c r="P51" s="308" t="n">
        <f aca="false">100*I51/(I51+L51+O51)</f>
        <v>7.58383490971628</v>
      </c>
      <c r="Q51" s="182" t="n">
        <f aca="false">AVERAGE(P51:P55)</f>
        <v>7.58517051355557</v>
      </c>
      <c r="R51" s="182" t="n">
        <f aca="false">STDEV(P51:P55)</f>
        <v>3.98017280769572</v>
      </c>
      <c r="S51" s="253"/>
      <c r="T51" s="253"/>
      <c r="U51" s="253"/>
      <c r="V51" s="308" t="n">
        <f aca="false">100*L51/(I51+L51+O51)</f>
        <v>85.2745362977522</v>
      </c>
      <c r="W51" s="182" t="n">
        <f aca="false">AVERAGE(V51:V55)</f>
        <v>85.3312276472675</v>
      </c>
      <c r="X51" s="182" t="n">
        <f aca="false">STDEV(V51:V55)</f>
        <v>4.03445844089414</v>
      </c>
      <c r="Y51" s="253"/>
      <c r="Z51" s="253"/>
      <c r="AA51" s="251"/>
      <c r="AB51" s="308" t="n">
        <f aca="false">100*O51/(I51+L51+O51)</f>
        <v>7.14162879253156</v>
      </c>
      <c r="AC51" s="182" t="n">
        <f aca="false">AVERAGE(AB51:AB55)</f>
        <v>7.0836018391769</v>
      </c>
      <c r="AD51" s="182" t="n">
        <f aca="false">STDEV(AB51:AB55)</f>
        <v>0.740773118608638</v>
      </c>
      <c r="AE51" s="253"/>
      <c r="AF51" s="253"/>
      <c r="AG51" s="253"/>
      <c r="AH51" s="33"/>
    </row>
    <row r="52" customFormat="false" ht="12.8" hidden="false" customHeight="false" outlineLevel="0" collapsed="false">
      <c r="B52" s="24"/>
      <c r="C52" s="50"/>
      <c r="D52" s="50"/>
      <c r="E52" s="64" t="s">
        <v>211</v>
      </c>
      <c r="F52" s="299" t="s">
        <v>105</v>
      </c>
      <c r="G52" s="300" t="n">
        <v>57.0172</v>
      </c>
      <c r="H52" s="301" t="n">
        <v>57.6231</v>
      </c>
      <c r="I52" s="302" t="n">
        <f aca="false">H52-G52</f>
        <v>0.605899999999998</v>
      </c>
      <c r="J52" s="300" t="n">
        <v>97.5679</v>
      </c>
      <c r="K52" s="301" t="n">
        <v>100.9182</v>
      </c>
      <c r="L52" s="302" t="n">
        <f aca="false">K52-J52</f>
        <v>3.3503</v>
      </c>
      <c r="M52" s="301" t="n">
        <v>28.1597</v>
      </c>
      <c r="N52" s="301" t="n">
        <v>28.4642</v>
      </c>
      <c r="O52" s="302" t="n">
        <f aca="false">N52-M52</f>
        <v>0.304500000000001</v>
      </c>
      <c r="P52" s="303" t="n">
        <f aca="false">100*I52/(I52+L52+O52)</f>
        <v>14.2206679653578</v>
      </c>
      <c r="Q52" s="262" t="n">
        <f aca="false">QUARTILE(P51:P55,1)-(1.5*(QUARTILE(P51:P55,3)-QUARTILE(P51:P55,1)))</f>
        <v>0.239137084068237</v>
      </c>
      <c r="R52" s="165"/>
      <c r="S52" s="264"/>
      <c r="T52" s="264"/>
      <c r="U52" s="264"/>
      <c r="V52" s="303" t="n">
        <f aca="false">100*L52/(I52+L52+O52)</f>
        <v>78.6326190532072</v>
      </c>
      <c r="W52" s="262" t="n">
        <f aca="false">QUARTILE(V51:V55,1)-(1.5*(QUARTILE(V51:V55,3)-QUARTILE(V51:V55,1)))</f>
        <v>82.5131096933156</v>
      </c>
      <c r="X52" s="165"/>
      <c r="Y52" s="264"/>
      <c r="Z52" s="264"/>
      <c r="AA52" s="243"/>
      <c r="AB52" s="303" t="n">
        <f aca="false">100*O52/(I52+L52+O52)</f>
        <v>7.14671298143499</v>
      </c>
      <c r="AC52" s="262" t="n">
        <f aca="false">QUARTILE(AB51:AB55,1)-(1.5*(QUARTILE(AB51:AB55,3)-QUARTILE(AB51:AB55,1)))</f>
        <v>5.74516086591029</v>
      </c>
      <c r="AD52" s="165"/>
      <c r="AE52" s="264"/>
      <c r="AF52" s="264"/>
      <c r="AG52" s="264"/>
      <c r="AH52" s="33"/>
    </row>
    <row r="53" customFormat="false" ht="14.65" hidden="false" customHeight="true" outlineLevel="0" collapsed="false">
      <c r="B53" s="24"/>
      <c r="C53" s="50"/>
      <c r="D53" s="50"/>
      <c r="E53" s="64" t="s">
        <v>208</v>
      </c>
      <c r="F53" s="299" t="s">
        <v>108</v>
      </c>
      <c r="G53" s="300" t="n">
        <v>55.4343</v>
      </c>
      <c r="H53" s="301" t="n">
        <v>55.6169</v>
      </c>
      <c r="I53" s="302" t="n">
        <f aca="false">H53-G53</f>
        <v>0.182600000000001</v>
      </c>
      <c r="J53" s="300" t="n">
        <v>42.2468</v>
      </c>
      <c r="K53" s="301" t="n">
        <v>45.6707</v>
      </c>
      <c r="L53" s="302" t="n">
        <f aca="false">K53-J53</f>
        <v>3.4239</v>
      </c>
      <c r="M53" s="301" t="n">
        <v>27.2211</v>
      </c>
      <c r="N53" s="301" t="n">
        <v>27.5449</v>
      </c>
      <c r="O53" s="302" t="n">
        <f aca="false">N53-M53</f>
        <v>0.323799999999999</v>
      </c>
      <c r="P53" s="303" t="n">
        <f aca="false">100*I53/(I53+L53+O53)</f>
        <v>4.64595577945706</v>
      </c>
      <c r="Q53" s="262" t="n">
        <f aca="false">QUARTILE(P51:P55,3)+(1.5*(QUARTILE(P51:P55,3)-QUARTILE(P51:P55,1)))</f>
        <v>11.9906536051051</v>
      </c>
      <c r="R53" s="165"/>
      <c r="S53" s="264"/>
      <c r="T53" s="264"/>
      <c r="U53" s="264"/>
      <c r="V53" s="303" t="n">
        <f aca="false">100*L53/(I53+L53+O53)</f>
        <v>87.1154873673765</v>
      </c>
      <c r="W53" s="262" t="n">
        <f aca="false">QUARTILE(V51:V55,3)+(1.5*(QUARTILE(V51:V55,3)-QUARTILE(V51:V55,1)))</f>
        <v>89.8769139718131</v>
      </c>
      <c r="X53" s="165"/>
      <c r="Y53" s="264"/>
      <c r="Z53" s="264"/>
      <c r="AA53" s="243"/>
      <c r="AB53" s="303" t="n">
        <f aca="false">100*O53/(I53+L53+O53)</f>
        <v>8.2385568531664</v>
      </c>
      <c r="AC53" s="262" t="n">
        <f aca="false">QUARTILE(AB51:AB55,3)+(1.5*(QUARTILE(AB51:AB55,3)-QUARTILE(AB51:AB55,1)))</f>
        <v>7.98764425074981</v>
      </c>
      <c r="AD53" s="165"/>
      <c r="AE53" s="264"/>
      <c r="AF53" s="264"/>
      <c r="AG53" s="264"/>
      <c r="AH53" s="33"/>
    </row>
    <row r="54" customFormat="false" ht="12.8" hidden="false" customHeight="false" outlineLevel="0" collapsed="false">
      <c r="B54" s="24"/>
      <c r="C54" s="50"/>
      <c r="D54" s="50"/>
      <c r="E54" s="64" t="n">
        <v>4</v>
      </c>
      <c r="F54" s="299" t="s">
        <v>111</v>
      </c>
      <c r="G54" s="300" t="n">
        <v>98.3455</v>
      </c>
      <c r="H54" s="301" t="n">
        <v>98.5188</v>
      </c>
      <c r="I54" s="302" t="n">
        <f aca="false">H54-G54</f>
        <v>0.173299999999998</v>
      </c>
      <c r="J54" s="300" t="n">
        <v>35.1483</v>
      </c>
      <c r="K54" s="301" t="n">
        <v>38.7109</v>
      </c>
      <c r="L54" s="302" t="n">
        <f aca="false">K54-J54</f>
        <v>3.5626</v>
      </c>
      <c r="M54" s="301" t="n">
        <v>26.3828</v>
      </c>
      <c r="N54" s="301" t="n">
        <v>26.6342</v>
      </c>
      <c r="O54" s="302" t="n">
        <f aca="false">N54-M54</f>
        <v>0.2514</v>
      </c>
      <c r="P54" s="303" t="n">
        <f aca="false">100*I54/(I54+L54+O54)</f>
        <v>4.34629950091534</v>
      </c>
      <c r="Q54" s="265" t="n">
        <v>0.08988</v>
      </c>
      <c r="R54" s="165"/>
      <c r="S54" s="264"/>
      <c r="T54" s="264"/>
      <c r="U54" s="264"/>
      <c r="V54" s="303" t="n">
        <f aca="false">100*L54/(I54+L54+O54)</f>
        <v>89.3486820655582</v>
      </c>
      <c r="W54" s="265" t="n">
        <v>0.2418</v>
      </c>
      <c r="X54" s="165"/>
      <c r="Y54" s="264"/>
      <c r="Z54" s="264"/>
      <c r="AA54" s="243"/>
      <c r="AB54" s="303" t="n">
        <f aca="false">100*O54/(I54+L54+O54)</f>
        <v>6.30501843352645</v>
      </c>
      <c r="AC54" s="265" t="n">
        <v>0.3443</v>
      </c>
      <c r="AD54" s="165"/>
      <c r="AE54" s="264"/>
      <c r="AF54" s="264"/>
      <c r="AG54" s="264"/>
      <c r="AH54" s="33"/>
    </row>
    <row r="55" customFormat="false" ht="12.8" hidden="false" customHeight="false" outlineLevel="0" collapsed="false">
      <c r="B55" s="24"/>
      <c r="C55" s="50"/>
      <c r="D55" s="50"/>
      <c r="E55" s="64" t="s">
        <v>210</v>
      </c>
      <c r="F55" s="299" t="s">
        <v>114</v>
      </c>
      <c r="G55" s="300" t="n">
        <v>45.8649</v>
      </c>
      <c r="H55" s="301" t="n">
        <v>46.1498</v>
      </c>
      <c r="I55" s="302" t="n">
        <f aca="false">H55-G55</f>
        <v>0.2849</v>
      </c>
      <c r="J55" s="300" t="n">
        <v>49.7882</v>
      </c>
      <c r="K55" s="301" t="n">
        <v>53.2364</v>
      </c>
      <c r="L55" s="302" t="n">
        <f aca="false">K55-J55</f>
        <v>3.4482</v>
      </c>
      <c r="M55" s="301" t="n">
        <v>27.3936</v>
      </c>
      <c r="N55" s="301" t="n">
        <v>27.6568</v>
      </c>
      <c r="O55" s="302" t="n">
        <f aca="false">N55-M55</f>
        <v>0.263200000000001</v>
      </c>
      <c r="P55" s="303" t="n">
        <f aca="false">100*I55/(I55+L55+O55)</f>
        <v>7.12909441233141</v>
      </c>
      <c r="Q55" s="165"/>
      <c r="R55" s="165"/>
      <c r="S55" s="264"/>
      <c r="T55" s="264"/>
      <c r="U55" s="264"/>
      <c r="V55" s="303" t="n">
        <f aca="false">100*L55/(I55+L55+O55)</f>
        <v>86.2848134524435</v>
      </c>
      <c r="W55" s="165"/>
      <c r="X55" s="165"/>
      <c r="Y55" s="264"/>
      <c r="Z55" s="264"/>
      <c r="AA55" s="243"/>
      <c r="AB55" s="303" t="n">
        <f aca="false">100*O55/(I55+L55+O55)</f>
        <v>6.58609213522511</v>
      </c>
      <c r="AC55" s="165"/>
      <c r="AD55" s="165"/>
      <c r="AE55" s="264"/>
      <c r="AF55" s="264"/>
      <c r="AG55" s="264"/>
      <c r="AH55" s="33"/>
    </row>
    <row r="56" customFormat="false" ht="12.8" hidden="false" customHeight="false" outlineLevel="0" collapsed="false">
      <c r="B56" s="24"/>
      <c r="C56" s="50"/>
      <c r="D56" s="176" t="s">
        <v>160</v>
      </c>
      <c r="E56" s="247" t="s">
        <v>212</v>
      </c>
      <c r="F56" s="304" t="s">
        <v>103</v>
      </c>
      <c r="G56" s="305" t="n">
        <v>58.5813</v>
      </c>
      <c r="H56" s="306" t="n">
        <v>58.9986</v>
      </c>
      <c r="I56" s="307" t="n">
        <f aca="false">H56-G56</f>
        <v>0.417300000000004</v>
      </c>
      <c r="J56" s="305" t="n">
        <v>58.8849</v>
      </c>
      <c r="K56" s="306" t="n">
        <v>62.0199</v>
      </c>
      <c r="L56" s="307" t="n">
        <f aca="false">K56-J56</f>
        <v>3.135</v>
      </c>
      <c r="M56" s="306" t="n">
        <v>29.3934</v>
      </c>
      <c r="N56" s="306" t="n">
        <v>29.7189</v>
      </c>
      <c r="O56" s="307" t="n">
        <f aca="false">N56-M56</f>
        <v>0.325500000000002</v>
      </c>
      <c r="P56" s="308" t="n">
        <f aca="false">100*I56/(I56+L56+O56)</f>
        <v>10.761256382485</v>
      </c>
      <c r="Q56" s="182" t="n">
        <f aca="false">AVERAGE(P56:P60)</f>
        <v>7.80099577229456</v>
      </c>
      <c r="R56" s="182" t="n">
        <f aca="false">STDEV(P56:P60)</f>
        <v>2.46242361727617</v>
      </c>
      <c r="S56" s="253"/>
      <c r="T56" s="253"/>
      <c r="U56" s="253"/>
      <c r="V56" s="308" t="n">
        <f aca="false">100*L56/(I56+L56+O56)</f>
        <v>80.8448089122697</v>
      </c>
      <c r="W56" s="182" t="n">
        <f aca="false">AVERAGE(V56:V60)</f>
        <v>85.5802083020931</v>
      </c>
      <c r="X56" s="182" t="n">
        <f aca="false">STDEV(V56:V60)</f>
        <v>3.35100507906995</v>
      </c>
      <c r="Y56" s="253"/>
      <c r="Z56" s="253"/>
      <c r="AA56" s="251"/>
      <c r="AB56" s="308" t="n">
        <f aca="false">100*O56/(I56+L56+O56)</f>
        <v>8.39393470524528</v>
      </c>
      <c r="AC56" s="182" t="n">
        <f aca="false">AVERAGE(AB56:AB60)</f>
        <v>6.61879592561237</v>
      </c>
      <c r="AD56" s="182" t="n">
        <f aca="false">STDEV(AB56:AB60)</f>
        <v>1.04424410562868</v>
      </c>
      <c r="AE56" s="253"/>
      <c r="AF56" s="253"/>
      <c r="AG56" s="253"/>
      <c r="AH56" s="33"/>
      <c r="DK56" s="0"/>
      <c r="DL56" s="0"/>
      <c r="DM56" s="0"/>
      <c r="DN56" s="0"/>
      <c r="DO56" s="0"/>
      <c r="DP56" s="0"/>
      <c r="DQ56" s="0"/>
      <c r="DR56" s="0"/>
      <c r="DS56" s="0"/>
      <c r="DT56" s="0"/>
      <c r="DU56" s="0"/>
      <c r="DV56" s="0"/>
      <c r="DW56" s="0"/>
      <c r="DX56" s="0"/>
      <c r="DY56" s="0"/>
      <c r="DZ56" s="0"/>
      <c r="EA56" s="0"/>
      <c r="EB56" s="0"/>
      <c r="EC56" s="0"/>
      <c r="ED56" s="0"/>
      <c r="EE56" s="0"/>
      <c r="EF56" s="0"/>
      <c r="EG56" s="0"/>
      <c r="EH56" s="0"/>
      <c r="EI56" s="0"/>
      <c r="EJ56" s="0"/>
      <c r="EK56" s="0"/>
      <c r="EL56" s="0"/>
      <c r="EM56" s="0"/>
      <c r="EN56" s="0"/>
      <c r="EO56" s="0"/>
      <c r="EP56" s="0"/>
      <c r="EQ56" s="0"/>
      <c r="ER56" s="0"/>
      <c r="ES56" s="0"/>
      <c r="ET56" s="0"/>
      <c r="EU56" s="0"/>
      <c r="EV56" s="0"/>
      <c r="EW56" s="0"/>
      <c r="EX56" s="0"/>
      <c r="EY56" s="0"/>
      <c r="EZ56" s="0"/>
      <c r="FA56" s="0"/>
      <c r="FB56" s="0"/>
      <c r="FC56" s="0"/>
      <c r="FD56" s="0"/>
      <c r="FE56" s="0"/>
      <c r="FF56" s="0"/>
      <c r="FG56" s="0"/>
      <c r="FH56" s="0"/>
      <c r="FI56" s="0"/>
      <c r="FJ56" s="0"/>
      <c r="FK56" s="0"/>
      <c r="FL56" s="0"/>
      <c r="FM56" s="0"/>
      <c r="FN56" s="0"/>
      <c r="FO56" s="0"/>
      <c r="FP56" s="0"/>
      <c r="FQ56" s="0"/>
      <c r="FR56" s="0"/>
      <c r="FS56" s="0"/>
      <c r="FT56" s="0"/>
      <c r="FU56" s="0"/>
      <c r="FV56" s="0"/>
      <c r="FW56" s="0"/>
      <c r="FX56" s="0"/>
      <c r="FY56" s="0"/>
      <c r="FZ56" s="0"/>
      <c r="GA56" s="0"/>
      <c r="GB56" s="0"/>
      <c r="GC56" s="0"/>
      <c r="GD56" s="0"/>
      <c r="GE56" s="0"/>
      <c r="GF56" s="0"/>
      <c r="GG56" s="0"/>
      <c r="GH56" s="0"/>
      <c r="GI56" s="0"/>
      <c r="GJ56" s="0"/>
      <c r="GK56" s="0"/>
      <c r="GL56" s="0"/>
      <c r="GM56" s="0"/>
      <c r="GN56" s="0"/>
      <c r="GO56" s="0"/>
      <c r="GP56" s="0"/>
      <c r="GQ56" s="0"/>
      <c r="GR56" s="0"/>
      <c r="GS56" s="0"/>
      <c r="GT56" s="0"/>
      <c r="GU56" s="0"/>
      <c r="GV56" s="0"/>
      <c r="GW56" s="0"/>
      <c r="GX56" s="0"/>
      <c r="GY56" s="0"/>
      <c r="GZ56" s="0"/>
      <c r="HA56" s="0"/>
      <c r="HB56" s="0"/>
      <c r="HC56" s="0"/>
      <c r="HD56" s="0"/>
      <c r="HE56" s="0"/>
      <c r="HF56" s="0"/>
      <c r="HG56" s="0"/>
      <c r="HH56" s="0"/>
      <c r="HI56" s="0"/>
      <c r="HJ56" s="0"/>
      <c r="HK56" s="0"/>
      <c r="HL56" s="0"/>
      <c r="HM56" s="0"/>
      <c r="HN56" s="0"/>
      <c r="HO56" s="0"/>
      <c r="HP56" s="0"/>
      <c r="HQ56" s="0"/>
      <c r="HR56" s="0"/>
      <c r="HS56" s="0"/>
      <c r="HT56" s="0"/>
      <c r="HU56" s="0"/>
      <c r="HV56" s="0"/>
      <c r="HW56" s="0"/>
      <c r="HX56" s="0"/>
      <c r="HY56" s="0"/>
      <c r="HZ56" s="0"/>
      <c r="IA56" s="0"/>
      <c r="IB56" s="0"/>
      <c r="IC56" s="0"/>
      <c r="ID56" s="0"/>
      <c r="IE56" s="0"/>
      <c r="IF56" s="0"/>
      <c r="IG56" s="0"/>
      <c r="IH56" s="0"/>
      <c r="II56" s="0"/>
      <c r="IJ56" s="0"/>
      <c r="IK56" s="0"/>
      <c r="IL56" s="0"/>
      <c r="IM56" s="0"/>
      <c r="IN56" s="0"/>
      <c r="IO56" s="0"/>
      <c r="IP56" s="0"/>
      <c r="IQ56" s="0"/>
      <c r="IR56" s="0"/>
      <c r="IS56" s="0"/>
      <c r="IT56" s="0"/>
      <c r="IU56" s="0"/>
      <c r="IV56" s="0"/>
      <c r="IW56" s="0"/>
      <c r="IX56" s="0"/>
      <c r="IY56" s="0"/>
      <c r="IZ56" s="0"/>
      <c r="JA56" s="0"/>
      <c r="JB56" s="0"/>
      <c r="JC56" s="0"/>
      <c r="JD56" s="0"/>
      <c r="JE56" s="0"/>
      <c r="JF56" s="0"/>
      <c r="JG56" s="0"/>
      <c r="JH56" s="0"/>
      <c r="JI56" s="0"/>
      <c r="JJ56" s="0"/>
      <c r="JK56" s="0"/>
      <c r="JL56" s="0"/>
      <c r="JM56" s="0"/>
      <c r="JN56" s="0"/>
      <c r="JO56" s="0"/>
      <c r="JP56" s="0"/>
      <c r="JQ56" s="0"/>
      <c r="JR56" s="0"/>
      <c r="JS56" s="0"/>
      <c r="JT56" s="0"/>
      <c r="JU56" s="0"/>
      <c r="JV56" s="0"/>
      <c r="JW56" s="0"/>
      <c r="JX56" s="0"/>
      <c r="JY56" s="0"/>
      <c r="JZ56" s="0"/>
      <c r="KA56" s="0"/>
      <c r="KB56" s="0"/>
      <c r="KC56" s="0"/>
      <c r="KD56" s="0"/>
      <c r="KE56" s="0"/>
      <c r="KF56" s="0"/>
      <c r="KG56" s="0"/>
      <c r="KH56" s="0"/>
      <c r="KI56" s="0"/>
      <c r="KJ56" s="0"/>
      <c r="KK56" s="0"/>
      <c r="KL56" s="0"/>
      <c r="KM56" s="0"/>
      <c r="KN56" s="0"/>
      <c r="KO56" s="0"/>
      <c r="KP56" s="0"/>
      <c r="KQ56" s="0"/>
      <c r="KR56" s="0"/>
      <c r="KS56" s="0"/>
      <c r="KT56" s="0"/>
      <c r="KU56" s="0"/>
      <c r="KV56" s="0"/>
      <c r="KW56" s="0"/>
      <c r="KX56" s="0"/>
      <c r="KY56" s="0"/>
      <c r="KZ56" s="0"/>
      <c r="LA56" s="0"/>
      <c r="LB56" s="0"/>
      <c r="LC56" s="0"/>
      <c r="LD56" s="0"/>
      <c r="LE56" s="0"/>
      <c r="LF56" s="0"/>
      <c r="LG56" s="0"/>
      <c r="LH56" s="0"/>
      <c r="LI56" s="0"/>
      <c r="LJ56" s="0"/>
      <c r="LK56" s="0"/>
      <c r="LL56" s="0"/>
      <c r="LM56" s="0"/>
      <c r="LN56" s="0"/>
      <c r="LO56" s="0"/>
      <c r="LP56" s="0"/>
      <c r="LQ56" s="0"/>
      <c r="LR56" s="0"/>
      <c r="LS56" s="0"/>
      <c r="LT56" s="0"/>
      <c r="LU56" s="0"/>
      <c r="LV56" s="0"/>
      <c r="LW56" s="0"/>
      <c r="LX56" s="0"/>
      <c r="LY56" s="0"/>
      <c r="LZ56" s="0"/>
      <c r="MA56" s="0"/>
      <c r="MB56" s="0"/>
      <c r="MC56" s="0"/>
      <c r="MD56" s="0"/>
      <c r="ME56" s="0"/>
      <c r="MF56" s="0"/>
      <c r="MG56" s="0"/>
      <c r="MH56" s="0"/>
      <c r="MI56" s="0"/>
      <c r="MJ56" s="0"/>
      <c r="MK56" s="0"/>
      <c r="ML56" s="0"/>
      <c r="MM56" s="0"/>
      <c r="MN56" s="0"/>
      <c r="MO56" s="0"/>
      <c r="MP56" s="0"/>
      <c r="MQ56" s="0"/>
      <c r="MR56" s="0"/>
      <c r="MS56" s="0"/>
      <c r="MT56" s="0"/>
      <c r="MU56" s="0"/>
      <c r="MV56" s="0"/>
      <c r="MW56" s="0"/>
      <c r="MX56" s="0"/>
      <c r="MY56" s="0"/>
      <c r="MZ56" s="0"/>
      <c r="NA56" s="0"/>
      <c r="NB56" s="0"/>
      <c r="NC56" s="0"/>
      <c r="ND56" s="0"/>
      <c r="NE56" s="0"/>
      <c r="NF56" s="0"/>
      <c r="NG56" s="0"/>
      <c r="NH56" s="0"/>
      <c r="NI56" s="0"/>
      <c r="NJ56" s="0"/>
      <c r="NK56" s="0"/>
      <c r="NL56" s="0"/>
      <c r="NM56" s="0"/>
      <c r="NN56" s="0"/>
      <c r="NO56" s="0"/>
      <c r="NP56" s="0"/>
      <c r="NQ56" s="0"/>
      <c r="NR56" s="0"/>
      <c r="NS56" s="0"/>
      <c r="NT56" s="0"/>
      <c r="NU56" s="0"/>
      <c r="NV56" s="0"/>
      <c r="NW56" s="0"/>
      <c r="NX56" s="0"/>
      <c r="NY56" s="0"/>
      <c r="NZ56" s="0"/>
      <c r="OA56" s="0"/>
      <c r="OB56" s="0"/>
      <c r="OC56" s="0"/>
      <c r="OD56" s="0"/>
      <c r="OE56" s="0"/>
      <c r="OF56" s="0"/>
      <c r="OG56" s="0"/>
      <c r="OH56" s="0"/>
      <c r="OI56" s="0"/>
      <c r="OJ56" s="0"/>
      <c r="OK56" s="0"/>
      <c r="OL56" s="0"/>
      <c r="OM56" s="0"/>
      <c r="ON56" s="0"/>
      <c r="OO56" s="0"/>
      <c r="OP56" s="0"/>
      <c r="OQ56" s="0"/>
      <c r="OR56" s="0"/>
      <c r="OS56" s="0"/>
      <c r="OT56" s="0"/>
      <c r="OU56" s="0"/>
      <c r="OV56" s="0"/>
      <c r="OW56" s="0"/>
      <c r="OX56" s="0"/>
      <c r="OY56" s="0"/>
      <c r="OZ56" s="0"/>
      <c r="PA56" s="0"/>
      <c r="PB56" s="0"/>
      <c r="PC56" s="0"/>
      <c r="PD56" s="0"/>
      <c r="PE56" s="0"/>
      <c r="PF56" s="0"/>
      <c r="PG56" s="0"/>
      <c r="PH56" s="0"/>
      <c r="PI56" s="0"/>
      <c r="PJ56" s="0"/>
      <c r="PK56" s="0"/>
      <c r="PL56" s="0"/>
      <c r="PM56" s="0"/>
      <c r="PN56" s="0"/>
      <c r="PO56" s="0"/>
      <c r="PP56" s="0"/>
      <c r="PQ56" s="0"/>
      <c r="PR56" s="0"/>
      <c r="PS56" s="0"/>
      <c r="PT56" s="0"/>
      <c r="PU56" s="0"/>
      <c r="PV56" s="0"/>
      <c r="PW56" s="0"/>
      <c r="PX56" s="0"/>
      <c r="PY56" s="0"/>
      <c r="PZ56" s="0"/>
      <c r="QA56" s="0"/>
      <c r="QB56" s="0"/>
      <c r="QC56" s="0"/>
      <c r="QD56" s="0"/>
      <c r="QE56" s="0"/>
      <c r="QF56" s="0"/>
      <c r="QG56" s="0"/>
      <c r="QH56" s="0"/>
      <c r="QI56" s="0"/>
      <c r="QJ56" s="0"/>
      <c r="QK56" s="0"/>
      <c r="QL56" s="0"/>
      <c r="QM56" s="0"/>
      <c r="QN56" s="0"/>
      <c r="QO56" s="0"/>
      <c r="QP56" s="0"/>
      <c r="QQ56" s="0"/>
      <c r="QR56" s="0"/>
      <c r="QS56" s="0"/>
      <c r="QT56" s="0"/>
      <c r="QU56" s="0"/>
      <c r="QV56" s="0"/>
      <c r="QW56" s="0"/>
      <c r="QX56" s="0"/>
      <c r="QY56" s="0"/>
      <c r="QZ56" s="0"/>
      <c r="RA56" s="0"/>
      <c r="RB56" s="0"/>
      <c r="RC56" s="0"/>
      <c r="RD56" s="0"/>
      <c r="RE56" s="0"/>
      <c r="RF56" s="0"/>
      <c r="RG56" s="0"/>
      <c r="RH56" s="0"/>
      <c r="RI56" s="0"/>
      <c r="RJ56" s="0"/>
      <c r="RK56" s="0"/>
      <c r="RL56" s="0"/>
      <c r="RM56" s="0"/>
      <c r="RN56" s="0"/>
      <c r="RO56" s="0"/>
      <c r="RP56" s="0"/>
      <c r="RQ56" s="0"/>
      <c r="RR56" s="0"/>
      <c r="RS56" s="0"/>
      <c r="RT56" s="0"/>
      <c r="RU56" s="0"/>
      <c r="RV56" s="0"/>
      <c r="RW56" s="0"/>
      <c r="RX56" s="0"/>
      <c r="RY56" s="0"/>
      <c r="RZ56" s="0"/>
      <c r="SA56" s="0"/>
      <c r="SB56" s="0"/>
      <c r="SC56" s="0"/>
      <c r="SD56" s="0"/>
      <c r="SE56" s="0"/>
      <c r="SF56" s="0"/>
      <c r="SG56" s="0"/>
      <c r="SH56" s="0"/>
      <c r="SI56" s="0"/>
      <c r="SJ56" s="0"/>
      <c r="SK56" s="0"/>
      <c r="SL56" s="0"/>
      <c r="SM56" s="0"/>
      <c r="SN56" s="0"/>
      <c r="SO56" s="0"/>
      <c r="SP56" s="0"/>
      <c r="SQ56" s="0"/>
      <c r="SR56" s="0"/>
      <c r="SS56" s="0"/>
      <c r="ST56" s="0"/>
      <c r="SU56" s="0"/>
      <c r="SV56" s="0"/>
      <c r="SW56" s="0"/>
      <c r="SX56" s="0"/>
      <c r="SY56" s="0"/>
      <c r="SZ56" s="0"/>
      <c r="TA56" s="0"/>
      <c r="TB56" s="0"/>
      <c r="TC56" s="0"/>
      <c r="TD56" s="0"/>
      <c r="TE56" s="0"/>
      <c r="TF56" s="0"/>
      <c r="TG56" s="0"/>
      <c r="TH56" s="0"/>
      <c r="TI56" s="0"/>
      <c r="TJ56" s="0"/>
      <c r="TK56" s="0"/>
      <c r="TL56" s="0"/>
      <c r="TM56" s="0"/>
      <c r="TN56" s="0"/>
      <c r="TO56" s="0"/>
      <c r="TP56" s="0"/>
      <c r="TQ56" s="0"/>
      <c r="TR56" s="0"/>
      <c r="TS56" s="0"/>
      <c r="TT56" s="0"/>
      <c r="TU56" s="0"/>
      <c r="TV56" s="0"/>
      <c r="TW56" s="0"/>
      <c r="TX56" s="0"/>
      <c r="TY56" s="0"/>
      <c r="TZ56" s="0"/>
      <c r="UA56" s="0"/>
      <c r="UB56" s="0"/>
      <c r="UC56" s="0"/>
      <c r="UD56" s="0"/>
      <c r="UE56" s="0"/>
      <c r="UF56" s="0"/>
      <c r="UG56" s="0"/>
      <c r="UH56" s="0"/>
      <c r="UI56" s="0"/>
      <c r="UJ56" s="0"/>
      <c r="UK56" s="0"/>
      <c r="UL56" s="0"/>
      <c r="UM56" s="0"/>
      <c r="UN56" s="0"/>
      <c r="UO56" s="0"/>
      <c r="UP56" s="0"/>
      <c r="UQ56" s="0"/>
      <c r="UR56" s="0"/>
      <c r="US56" s="0"/>
      <c r="UT56" s="0"/>
      <c r="UU56" s="0"/>
      <c r="UV56" s="0"/>
      <c r="UW56" s="0"/>
      <c r="UX56" s="0"/>
      <c r="UY56" s="0"/>
      <c r="UZ56" s="0"/>
      <c r="VA56" s="0"/>
      <c r="VB56" s="0"/>
      <c r="VC56" s="0"/>
      <c r="VD56" s="0"/>
      <c r="VE56" s="0"/>
      <c r="VF56" s="0"/>
      <c r="VG56" s="0"/>
      <c r="VH56" s="0"/>
      <c r="VI56" s="0"/>
      <c r="VJ56" s="0"/>
      <c r="VK56" s="0"/>
      <c r="VL56" s="0"/>
      <c r="VM56" s="0"/>
      <c r="VN56" s="0"/>
      <c r="VO56" s="0"/>
      <c r="VP56" s="0"/>
      <c r="VQ56" s="0"/>
      <c r="VR56" s="0"/>
      <c r="VS56" s="0"/>
      <c r="VT56" s="0"/>
      <c r="VU56" s="0"/>
      <c r="VV56" s="0"/>
      <c r="VW56" s="0"/>
      <c r="VX56" s="0"/>
      <c r="VY56" s="0"/>
      <c r="VZ56" s="0"/>
      <c r="WA56" s="0"/>
      <c r="WB56" s="0"/>
      <c r="WC56" s="0"/>
      <c r="WD56" s="0"/>
      <c r="WE56" s="0"/>
      <c r="WF56" s="0"/>
      <c r="WG56" s="0"/>
      <c r="WH56" s="0"/>
      <c r="WI56" s="0"/>
      <c r="WJ56" s="0"/>
      <c r="WK56" s="0"/>
      <c r="WL56" s="0"/>
      <c r="WM56" s="0"/>
      <c r="WN56" s="0"/>
      <c r="WO56" s="0"/>
      <c r="WP56" s="0"/>
      <c r="WQ56" s="0"/>
      <c r="WR56" s="0"/>
      <c r="WS56" s="0"/>
      <c r="WT56" s="0"/>
      <c r="WU56" s="0"/>
      <c r="WV56" s="0"/>
      <c r="WW56" s="0"/>
      <c r="WX56" s="0"/>
      <c r="WY56" s="0"/>
      <c r="WZ56" s="0"/>
      <c r="XA56" s="0"/>
      <c r="XB56" s="0"/>
      <c r="XC56" s="0"/>
      <c r="XD56" s="0"/>
      <c r="XE56" s="0"/>
      <c r="XF56" s="0"/>
      <c r="XG56" s="0"/>
      <c r="XH56" s="0"/>
      <c r="XI56" s="0"/>
      <c r="XJ56" s="0"/>
      <c r="XK56" s="0"/>
      <c r="XL56" s="0"/>
      <c r="XM56" s="0"/>
      <c r="XN56" s="0"/>
      <c r="XO56" s="0"/>
      <c r="XP56" s="0"/>
      <c r="XQ56" s="0"/>
      <c r="XR56" s="0"/>
      <c r="XS56" s="0"/>
      <c r="XT56" s="0"/>
      <c r="XU56" s="0"/>
      <c r="XV56" s="0"/>
      <c r="XW56" s="0"/>
      <c r="XX56" s="0"/>
      <c r="XY56" s="0"/>
      <c r="XZ56" s="0"/>
      <c r="YA56" s="0"/>
      <c r="YB56" s="0"/>
      <c r="YC56" s="0"/>
      <c r="YD56" s="0"/>
      <c r="YE56" s="0"/>
      <c r="YF56" s="0"/>
      <c r="YG56" s="0"/>
      <c r="YH56" s="0"/>
      <c r="YI56" s="0"/>
      <c r="YJ56" s="0"/>
      <c r="YK56" s="0"/>
      <c r="YL56" s="0"/>
      <c r="YM56" s="0"/>
      <c r="YN56" s="0"/>
      <c r="YO56" s="0"/>
      <c r="YP56" s="0"/>
      <c r="YQ56" s="0"/>
      <c r="YR56" s="0"/>
      <c r="YS56" s="0"/>
      <c r="YT56" s="0"/>
      <c r="YU56" s="0"/>
      <c r="YV56" s="0"/>
      <c r="YW56" s="0"/>
      <c r="YX56" s="0"/>
      <c r="YY56" s="0"/>
      <c r="YZ56" s="0"/>
      <c r="ZA56" s="0"/>
      <c r="ZB56" s="0"/>
      <c r="ZC56" s="0"/>
      <c r="ZD56" s="0"/>
      <c r="ZE56" s="0"/>
      <c r="ZF56" s="0"/>
      <c r="ZG56" s="0"/>
      <c r="ZH56" s="0"/>
      <c r="ZI56" s="0"/>
      <c r="ZJ56" s="0"/>
      <c r="ZK56" s="0"/>
      <c r="ZL56" s="0"/>
      <c r="ZM56" s="0"/>
      <c r="ZN56" s="0"/>
      <c r="ZO56" s="0"/>
      <c r="ZP56" s="0"/>
      <c r="ZQ56" s="0"/>
      <c r="ZR56" s="0"/>
      <c r="ZS56" s="0"/>
      <c r="ZT56" s="0"/>
      <c r="ZU56" s="0"/>
      <c r="ZV56" s="0"/>
      <c r="ZW56" s="0"/>
      <c r="ZX56" s="0"/>
      <c r="ZY56" s="0"/>
      <c r="ZZ56" s="0"/>
      <c r="AAA56" s="0"/>
      <c r="AAB56" s="0"/>
      <c r="AAC56" s="0"/>
      <c r="AAD56" s="0"/>
      <c r="AAE56" s="0"/>
      <c r="AAF56" s="0"/>
      <c r="AAG56" s="0"/>
      <c r="AAH56" s="0"/>
      <c r="AAI56" s="0"/>
      <c r="AAJ56" s="0"/>
      <c r="AAK56" s="0"/>
      <c r="AAL56" s="0"/>
      <c r="AAM56" s="0"/>
      <c r="AAN56" s="0"/>
      <c r="AAO56" s="0"/>
      <c r="AAP56" s="0"/>
      <c r="AAQ56" s="0"/>
      <c r="AAR56" s="0"/>
      <c r="AAS56" s="0"/>
      <c r="AAT56" s="0"/>
      <c r="AAU56" s="0"/>
      <c r="AAV56" s="0"/>
      <c r="AAW56" s="0"/>
      <c r="AAX56" s="0"/>
      <c r="AAY56" s="0"/>
      <c r="AAZ56" s="0"/>
      <c r="ABA56" s="0"/>
      <c r="ABB56" s="0"/>
      <c r="ABC56" s="0"/>
      <c r="ABD56" s="0"/>
      <c r="ABE56" s="0"/>
      <c r="ABF56" s="0"/>
      <c r="ABG56" s="0"/>
      <c r="ABH56" s="0"/>
      <c r="ABI56" s="0"/>
      <c r="ABJ56" s="0"/>
      <c r="ABK56" s="0"/>
      <c r="ABL56" s="0"/>
      <c r="ABM56" s="0"/>
      <c r="ABN56" s="0"/>
      <c r="ABO56" s="0"/>
      <c r="ABP56" s="0"/>
      <c r="ABQ56" s="0"/>
      <c r="ABR56" s="0"/>
      <c r="ABS56" s="0"/>
      <c r="ABT56" s="0"/>
      <c r="ABU56" s="0"/>
      <c r="ABV56" s="0"/>
      <c r="ABW56" s="0"/>
      <c r="ABX56" s="0"/>
      <c r="ABY56" s="0"/>
      <c r="ABZ56" s="0"/>
      <c r="ACA56" s="0"/>
      <c r="ACB56" s="0"/>
      <c r="ACC56" s="0"/>
      <c r="ACD56" s="0"/>
      <c r="ACE56" s="0"/>
      <c r="ACF56" s="0"/>
      <c r="ACG56" s="0"/>
      <c r="ACH56" s="0"/>
      <c r="ACI56" s="0"/>
      <c r="ACJ56" s="0"/>
      <c r="ACK56" s="0"/>
      <c r="ACL56" s="0"/>
      <c r="ACM56" s="0"/>
      <c r="ACN56" s="0"/>
      <c r="ACO56" s="0"/>
      <c r="ACP56" s="0"/>
      <c r="ACQ56" s="0"/>
      <c r="ACR56" s="0"/>
      <c r="ACS56" s="0"/>
      <c r="ACT56" s="0"/>
      <c r="ACU56" s="0"/>
      <c r="ACV56" s="0"/>
      <c r="ACW56" s="0"/>
      <c r="ACX56" s="0"/>
      <c r="ACY56" s="0"/>
      <c r="ACZ56" s="0"/>
      <c r="ADA56" s="0"/>
      <c r="ADB56" s="0"/>
      <c r="ADC56" s="0"/>
      <c r="ADD56" s="0"/>
      <c r="ADE56" s="0"/>
      <c r="ADF56" s="0"/>
      <c r="ADG56" s="0"/>
      <c r="ADH56" s="0"/>
      <c r="ADI56" s="0"/>
      <c r="ADJ56" s="0"/>
      <c r="ADK56" s="0"/>
      <c r="ADL56" s="0"/>
      <c r="ADM56" s="0"/>
      <c r="ADN56" s="0"/>
      <c r="ADO56" s="0"/>
      <c r="ADP56" s="0"/>
      <c r="ADQ56" s="0"/>
      <c r="ADR56" s="0"/>
      <c r="ADS56" s="0"/>
      <c r="ADT56" s="0"/>
      <c r="ADU56" s="0"/>
      <c r="ADV56" s="0"/>
      <c r="ADW56" s="0"/>
      <c r="ADX56" s="0"/>
      <c r="ADY56" s="0"/>
      <c r="ADZ56" s="0"/>
      <c r="AEA56" s="0"/>
      <c r="AEB56" s="0"/>
      <c r="AEC56" s="0"/>
      <c r="AED56" s="0"/>
      <c r="AEE56" s="0"/>
      <c r="AEF56" s="0"/>
      <c r="AEG56" s="0"/>
      <c r="AEH56" s="0"/>
      <c r="AEI56" s="0"/>
      <c r="AEJ56" s="0"/>
      <c r="AEK56" s="0"/>
      <c r="AEL56" s="0"/>
      <c r="AEM56" s="0"/>
      <c r="AEN56" s="0"/>
      <c r="AEO56" s="0"/>
      <c r="AEP56" s="0"/>
      <c r="AEQ56" s="0"/>
      <c r="AER56" s="0"/>
      <c r="AES56" s="0"/>
      <c r="AET56" s="0"/>
      <c r="AEU56" s="0"/>
      <c r="AEV56" s="0"/>
      <c r="AEW56" s="0"/>
      <c r="AEX56" s="0"/>
      <c r="AEY56" s="0"/>
      <c r="AEZ56" s="0"/>
      <c r="AFA56" s="0"/>
      <c r="AFB56" s="0"/>
      <c r="AFC56" s="0"/>
      <c r="AFD56" s="0"/>
      <c r="AFE56" s="0"/>
      <c r="AFF56" s="0"/>
      <c r="AFG56" s="0"/>
      <c r="AFH56" s="0"/>
      <c r="AFI56" s="0"/>
      <c r="AFJ56" s="0"/>
      <c r="AFK56" s="0"/>
      <c r="AFL56" s="0"/>
      <c r="AFM56" s="0"/>
      <c r="AFN56" s="0"/>
      <c r="AFO56" s="0"/>
      <c r="AFP56" s="0"/>
      <c r="AFQ56" s="0"/>
      <c r="AFR56" s="0"/>
      <c r="AFS56" s="0"/>
      <c r="AFT56" s="0"/>
      <c r="AFU56" s="0"/>
      <c r="AFV56" s="0"/>
      <c r="AFW56" s="0"/>
      <c r="AFX56" s="0"/>
      <c r="AFY56" s="0"/>
      <c r="AFZ56" s="0"/>
      <c r="AGA56" s="0"/>
      <c r="AGB56" s="0"/>
      <c r="AGC56" s="0"/>
      <c r="AGD56" s="0"/>
      <c r="AGE56" s="0"/>
      <c r="AGF56" s="0"/>
      <c r="AGG56" s="0"/>
      <c r="AGH56" s="0"/>
      <c r="AGI56" s="0"/>
      <c r="AGJ56" s="0"/>
      <c r="AGK56" s="0"/>
      <c r="AGL56" s="0"/>
      <c r="AGM56" s="0"/>
      <c r="AGN56" s="0"/>
      <c r="AGO56" s="0"/>
      <c r="AGP56" s="0"/>
      <c r="AGQ56" s="0"/>
      <c r="AGR56" s="0"/>
      <c r="AGS56" s="0"/>
      <c r="AGT56" s="0"/>
      <c r="AGU56" s="0"/>
      <c r="AGV56" s="0"/>
      <c r="AGW56" s="0"/>
      <c r="AGX56" s="0"/>
      <c r="AGY56" s="0"/>
      <c r="AGZ56" s="0"/>
      <c r="AHA56" s="0"/>
      <c r="AHB56" s="0"/>
      <c r="AHC56" s="0"/>
      <c r="AHD56" s="0"/>
      <c r="AHE56" s="0"/>
      <c r="AHF56" s="0"/>
      <c r="AHG56" s="0"/>
      <c r="AHH56" s="0"/>
      <c r="AHI56" s="0"/>
      <c r="AHJ56" s="0"/>
      <c r="AHK56" s="0"/>
      <c r="AHL56" s="0"/>
      <c r="AHM56" s="0"/>
      <c r="AHN56" s="0"/>
      <c r="AHO56" s="0"/>
      <c r="AHP56" s="0"/>
      <c r="AHQ56" s="0"/>
      <c r="AHR56" s="0"/>
      <c r="AHS56" s="0"/>
      <c r="AHT56" s="0"/>
      <c r="AHU56" s="0"/>
      <c r="AHV56" s="0"/>
      <c r="AHW56" s="0"/>
      <c r="AHX56" s="0"/>
      <c r="AHY56" s="0"/>
      <c r="AHZ56" s="0"/>
      <c r="AIA56" s="0"/>
      <c r="AIB56" s="0"/>
      <c r="AIC56" s="0"/>
      <c r="AID56" s="0"/>
      <c r="AIE56" s="0"/>
      <c r="AIF56" s="0"/>
      <c r="AIG56" s="0"/>
      <c r="AIH56" s="0"/>
      <c r="AII56" s="0"/>
      <c r="AIJ56" s="0"/>
      <c r="AIK56" s="0"/>
      <c r="AIL56" s="0"/>
      <c r="AIM56" s="0"/>
      <c r="AIN56" s="0"/>
      <c r="AIO56" s="0"/>
      <c r="AIP56" s="0"/>
      <c r="AIQ56" s="0"/>
      <c r="AIR56" s="0"/>
      <c r="AIS56" s="0"/>
      <c r="AIT56" s="0"/>
      <c r="AIU56" s="0"/>
      <c r="AIV56" s="0"/>
      <c r="AIW56" s="0"/>
      <c r="AIX56" s="0"/>
      <c r="AIY56" s="0"/>
      <c r="AIZ56" s="0"/>
      <c r="AJA56" s="0"/>
      <c r="AJB56" s="0"/>
      <c r="AJC56" s="0"/>
      <c r="AJD56" s="0"/>
      <c r="AJE56" s="0"/>
      <c r="AJF56" s="0"/>
      <c r="AJG56" s="0"/>
      <c r="AJH56" s="0"/>
      <c r="AJI56" s="0"/>
      <c r="AJJ56" s="0"/>
      <c r="AJK56" s="0"/>
      <c r="AJL56" s="0"/>
      <c r="AJM56" s="0"/>
      <c r="AJN56" s="0"/>
      <c r="AJO56" s="0"/>
      <c r="AJP56" s="0"/>
      <c r="AJQ56" s="0"/>
      <c r="AJR56" s="0"/>
      <c r="AJS56" s="0"/>
      <c r="AJT56" s="0"/>
      <c r="AJU56" s="0"/>
      <c r="AJV56" s="0"/>
      <c r="AJW56" s="0"/>
      <c r="AJX56" s="0"/>
      <c r="AJY56" s="0"/>
      <c r="AJZ56" s="0"/>
      <c r="AKA56" s="0"/>
      <c r="AKB56" s="0"/>
      <c r="AKC56" s="0"/>
      <c r="AKD56" s="0"/>
      <c r="AKE56" s="0"/>
      <c r="AKF56" s="0"/>
      <c r="AKG56" s="0"/>
      <c r="AKH56" s="0"/>
      <c r="AKI56" s="0"/>
      <c r="AKJ56" s="0"/>
      <c r="AKK56" s="0"/>
      <c r="AKL56" s="0"/>
      <c r="AKM56" s="0"/>
      <c r="AKN56" s="0"/>
      <c r="AKO56" s="0"/>
      <c r="AKP56" s="0"/>
      <c r="AKQ56" s="0"/>
      <c r="AKR56" s="0"/>
      <c r="AKS56" s="0"/>
      <c r="AKT56" s="0"/>
      <c r="AKU56" s="0"/>
      <c r="AKV56" s="0"/>
      <c r="AKW56" s="0"/>
      <c r="AKX56" s="0"/>
      <c r="AKY56" s="0"/>
      <c r="AKZ56" s="0"/>
      <c r="ALA56" s="0"/>
      <c r="ALB56" s="0"/>
      <c r="ALC56" s="0"/>
      <c r="ALD56" s="0"/>
      <c r="ALE56" s="0"/>
      <c r="ALF56" s="0"/>
      <c r="ALG56" s="0"/>
      <c r="ALH56" s="0"/>
      <c r="ALI56" s="0"/>
      <c r="ALJ56" s="0"/>
      <c r="ALK56" s="0"/>
    </row>
    <row r="57" customFormat="false" ht="12.8" hidden="false" customHeight="false" outlineLevel="0" collapsed="false">
      <c r="B57" s="24"/>
      <c r="C57" s="50"/>
      <c r="D57" s="50"/>
      <c r="E57" s="64" t="n">
        <v>2</v>
      </c>
      <c r="F57" s="299" t="s">
        <v>105</v>
      </c>
      <c r="G57" s="300" t="n">
        <v>39.6587</v>
      </c>
      <c r="H57" s="301" t="n">
        <v>39.8588</v>
      </c>
      <c r="I57" s="302" t="n">
        <f aca="false">H57-G57</f>
        <v>0.200099999999999</v>
      </c>
      <c r="J57" s="300" t="n">
        <v>56.6368</v>
      </c>
      <c r="K57" s="301" t="n">
        <v>60.568</v>
      </c>
      <c r="L57" s="302" t="n">
        <f aca="false">K57-J57</f>
        <v>3.9312</v>
      </c>
      <c r="M57" s="301" t="n">
        <v>27.8405</v>
      </c>
      <c r="N57" s="301" t="n">
        <v>28.0874</v>
      </c>
      <c r="O57" s="302" t="n">
        <f aca="false">N57-M57</f>
        <v>0.2469</v>
      </c>
      <c r="P57" s="303" t="n">
        <f aca="false">100*I57/(I57+L57+O57)</f>
        <v>4.57037138550087</v>
      </c>
      <c r="Q57" s="262" t="n">
        <f aca="false">QUARTILE(P56:P60,1)-(1.5*(QUARTILE(P56:P60,3)-QUARTILE(P56:P60,1)))</f>
        <v>1.53771390791248</v>
      </c>
      <c r="R57" s="165"/>
      <c r="S57" s="264"/>
      <c r="T57" s="264"/>
      <c r="U57" s="264"/>
      <c r="V57" s="303" t="n">
        <f aca="false">100*L57/(I57+L57+O57)</f>
        <v>89.79032479101</v>
      </c>
      <c r="W57" s="262" t="n">
        <f aca="false">QUARTILE(V56:V60,1)-(1.5*(QUARTILE(V56:V60,3)-QUARTILE(V56:V60,1)))</f>
        <v>79.5915132609928</v>
      </c>
      <c r="X57" s="165"/>
      <c r="Y57" s="264"/>
      <c r="Z57" s="264"/>
      <c r="AA57" s="243"/>
      <c r="AB57" s="303" t="n">
        <f aca="false">100*O57/(I57+L57+O57)</f>
        <v>5.63930382348911</v>
      </c>
      <c r="AC57" s="262" t="n">
        <f aca="false">QUARTILE(AB56:AB60,1)-(1.5*(QUARTILE(AB56:AB60,3)-QUARTILE(AB56:AB60,1)))</f>
        <v>5.78138700718339</v>
      </c>
      <c r="AD57" s="165"/>
      <c r="AE57" s="264"/>
      <c r="AF57" s="264"/>
      <c r="AG57" s="264"/>
      <c r="AH57" s="33"/>
      <c r="DK57" s="0"/>
      <c r="DL57" s="0"/>
      <c r="DM57" s="0"/>
      <c r="DN57" s="0"/>
      <c r="DO57" s="0"/>
      <c r="DP57" s="0"/>
      <c r="DQ57" s="0"/>
      <c r="DR57" s="0"/>
      <c r="DS57" s="0"/>
      <c r="DT57" s="0"/>
      <c r="DU57" s="0"/>
      <c r="DV57" s="0"/>
      <c r="DW57" s="0"/>
      <c r="DX57" s="0"/>
      <c r="DY57" s="0"/>
      <c r="DZ57" s="0"/>
      <c r="EA57" s="0"/>
      <c r="EB57" s="0"/>
      <c r="EC57" s="0"/>
      <c r="ED57" s="0"/>
      <c r="EE57" s="0"/>
      <c r="EF57" s="0"/>
      <c r="EG57" s="0"/>
      <c r="EH57" s="0"/>
      <c r="EI57" s="0"/>
      <c r="EJ57" s="0"/>
      <c r="EK57" s="0"/>
      <c r="EL57" s="0"/>
      <c r="EM57" s="0"/>
      <c r="EN57" s="0"/>
      <c r="EO57" s="0"/>
      <c r="EP57" s="0"/>
      <c r="EQ57" s="0"/>
      <c r="ER57" s="0"/>
      <c r="ES57" s="0"/>
      <c r="ET57" s="0"/>
      <c r="EU57" s="0"/>
      <c r="EV57" s="0"/>
      <c r="EW57" s="0"/>
      <c r="EX57" s="0"/>
      <c r="EY57" s="0"/>
      <c r="EZ57" s="0"/>
      <c r="FA57" s="0"/>
      <c r="FB57" s="0"/>
      <c r="FC57" s="0"/>
      <c r="FD57" s="0"/>
      <c r="FE57" s="0"/>
      <c r="FF57" s="0"/>
      <c r="FG57" s="0"/>
      <c r="FH57" s="0"/>
      <c r="FI57" s="0"/>
      <c r="FJ57" s="0"/>
      <c r="FK57" s="0"/>
      <c r="FL57" s="0"/>
      <c r="FM57" s="0"/>
      <c r="FN57" s="0"/>
      <c r="FO57" s="0"/>
      <c r="FP57" s="0"/>
      <c r="FQ57" s="0"/>
      <c r="FR57" s="0"/>
      <c r="FS57" s="0"/>
      <c r="FT57" s="0"/>
      <c r="FU57" s="0"/>
      <c r="FV57" s="0"/>
      <c r="FW57" s="0"/>
      <c r="FX57" s="0"/>
      <c r="FY57" s="0"/>
      <c r="FZ57" s="0"/>
      <c r="GA57" s="0"/>
      <c r="GB57" s="0"/>
      <c r="GC57" s="0"/>
      <c r="GD57" s="0"/>
      <c r="GE57" s="0"/>
      <c r="GF57" s="0"/>
      <c r="GG57" s="0"/>
      <c r="GH57" s="0"/>
      <c r="GI57" s="0"/>
      <c r="GJ57" s="0"/>
      <c r="GK57" s="0"/>
      <c r="GL57" s="0"/>
      <c r="GM57" s="0"/>
      <c r="GN57" s="0"/>
      <c r="GO57" s="0"/>
      <c r="GP57" s="0"/>
      <c r="GQ57" s="0"/>
      <c r="GR57" s="0"/>
      <c r="GS57" s="0"/>
      <c r="GT57" s="0"/>
      <c r="GU57" s="0"/>
      <c r="GV57" s="0"/>
      <c r="GW57" s="0"/>
      <c r="GX57" s="0"/>
      <c r="GY57" s="0"/>
      <c r="GZ57" s="0"/>
      <c r="HA57" s="0"/>
      <c r="HB57" s="0"/>
      <c r="HC57" s="0"/>
      <c r="HD57" s="0"/>
      <c r="HE57" s="0"/>
      <c r="HF57" s="0"/>
      <c r="HG57" s="0"/>
      <c r="HH57" s="0"/>
      <c r="HI57" s="0"/>
      <c r="HJ57" s="0"/>
      <c r="HK57" s="0"/>
      <c r="HL57" s="0"/>
      <c r="HM57" s="0"/>
      <c r="HN57" s="0"/>
      <c r="HO57" s="0"/>
      <c r="HP57" s="0"/>
      <c r="HQ57" s="0"/>
      <c r="HR57" s="0"/>
      <c r="HS57" s="0"/>
      <c r="HT57" s="0"/>
      <c r="HU57" s="0"/>
      <c r="HV57" s="0"/>
      <c r="HW57" s="0"/>
      <c r="HX57" s="0"/>
      <c r="HY57" s="0"/>
      <c r="HZ57" s="0"/>
      <c r="IA57" s="0"/>
      <c r="IB57" s="0"/>
      <c r="IC57" s="0"/>
      <c r="ID57" s="0"/>
      <c r="IE57" s="0"/>
      <c r="IF57" s="0"/>
      <c r="IG57" s="0"/>
      <c r="IH57" s="0"/>
      <c r="II57" s="0"/>
      <c r="IJ57" s="0"/>
      <c r="IK57" s="0"/>
      <c r="IL57" s="0"/>
      <c r="IM57" s="0"/>
      <c r="IN57" s="0"/>
      <c r="IO57" s="0"/>
      <c r="IP57" s="0"/>
      <c r="IQ57" s="0"/>
      <c r="IR57" s="0"/>
      <c r="IS57" s="0"/>
      <c r="IT57" s="0"/>
      <c r="IU57" s="0"/>
      <c r="IV57" s="0"/>
      <c r="IW57" s="0"/>
      <c r="IX57" s="0"/>
      <c r="IY57" s="0"/>
      <c r="IZ57" s="0"/>
      <c r="JA57" s="0"/>
      <c r="JB57" s="0"/>
      <c r="JC57" s="0"/>
      <c r="JD57" s="0"/>
      <c r="JE57" s="0"/>
      <c r="JF57" s="0"/>
      <c r="JG57" s="0"/>
      <c r="JH57" s="0"/>
      <c r="JI57" s="0"/>
      <c r="JJ57" s="0"/>
      <c r="JK57" s="0"/>
      <c r="JL57" s="0"/>
      <c r="JM57" s="0"/>
      <c r="JN57" s="0"/>
      <c r="JO57" s="0"/>
      <c r="JP57" s="0"/>
      <c r="JQ57" s="0"/>
      <c r="JR57" s="0"/>
      <c r="JS57" s="0"/>
      <c r="JT57" s="0"/>
      <c r="JU57" s="0"/>
      <c r="JV57" s="0"/>
      <c r="JW57" s="0"/>
      <c r="JX57" s="0"/>
      <c r="JY57" s="0"/>
      <c r="JZ57" s="0"/>
      <c r="KA57" s="0"/>
      <c r="KB57" s="0"/>
      <c r="KC57" s="0"/>
      <c r="KD57" s="0"/>
      <c r="KE57" s="0"/>
      <c r="KF57" s="0"/>
      <c r="KG57" s="0"/>
      <c r="KH57" s="0"/>
      <c r="KI57" s="0"/>
      <c r="KJ57" s="0"/>
      <c r="KK57" s="0"/>
      <c r="KL57" s="0"/>
      <c r="KM57" s="0"/>
      <c r="KN57" s="0"/>
      <c r="KO57" s="0"/>
      <c r="KP57" s="0"/>
      <c r="KQ57" s="0"/>
      <c r="KR57" s="0"/>
      <c r="KS57" s="0"/>
      <c r="KT57" s="0"/>
      <c r="KU57" s="0"/>
      <c r="KV57" s="0"/>
      <c r="KW57" s="0"/>
      <c r="KX57" s="0"/>
      <c r="KY57" s="0"/>
      <c r="KZ57" s="0"/>
      <c r="LA57" s="0"/>
      <c r="LB57" s="0"/>
      <c r="LC57" s="0"/>
      <c r="LD57" s="0"/>
      <c r="LE57" s="0"/>
      <c r="LF57" s="0"/>
      <c r="LG57" s="0"/>
      <c r="LH57" s="0"/>
      <c r="LI57" s="0"/>
      <c r="LJ57" s="0"/>
      <c r="LK57" s="0"/>
      <c r="LL57" s="0"/>
      <c r="LM57" s="0"/>
      <c r="LN57" s="0"/>
      <c r="LO57" s="0"/>
      <c r="LP57" s="0"/>
      <c r="LQ57" s="0"/>
      <c r="LR57" s="0"/>
      <c r="LS57" s="0"/>
      <c r="LT57" s="0"/>
      <c r="LU57" s="0"/>
      <c r="LV57" s="0"/>
      <c r="LW57" s="0"/>
      <c r="LX57" s="0"/>
      <c r="LY57" s="0"/>
      <c r="LZ57" s="0"/>
      <c r="MA57" s="0"/>
      <c r="MB57" s="0"/>
      <c r="MC57" s="0"/>
      <c r="MD57" s="0"/>
      <c r="ME57" s="0"/>
      <c r="MF57" s="0"/>
      <c r="MG57" s="0"/>
      <c r="MH57" s="0"/>
      <c r="MI57" s="0"/>
      <c r="MJ57" s="0"/>
      <c r="MK57" s="0"/>
      <c r="ML57" s="0"/>
      <c r="MM57" s="0"/>
      <c r="MN57" s="0"/>
      <c r="MO57" s="0"/>
      <c r="MP57" s="0"/>
      <c r="MQ57" s="0"/>
      <c r="MR57" s="0"/>
      <c r="MS57" s="0"/>
      <c r="MT57" s="0"/>
      <c r="MU57" s="0"/>
      <c r="MV57" s="0"/>
      <c r="MW57" s="0"/>
      <c r="MX57" s="0"/>
      <c r="MY57" s="0"/>
      <c r="MZ57" s="0"/>
      <c r="NA57" s="0"/>
      <c r="NB57" s="0"/>
      <c r="NC57" s="0"/>
      <c r="ND57" s="0"/>
      <c r="NE57" s="0"/>
      <c r="NF57" s="0"/>
      <c r="NG57" s="0"/>
      <c r="NH57" s="0"/>
      <c r="NI57" s="0"/>
      <c r="NJ57" s="0"/>
      <c r="NK57" s="0"/>
      <c r="NL57" s="0"/>
      <c r="NM57" s="0"/>
      <c r="NN57" s="0"/>
      <c r="NO57" s="0"/>
      <c r="NP57" s="0"/>
      <c r="NQ57" s="0"/>
      <c r="NR57" s="0"/>
      <c r="NS57" s="0"/>
      <c r="NT57" s="0"/>
      <c r="NU57" s="0"/>
      <c r="NV57" s="0"/>
      <c r="NW57" s="0"/>
      <c r="NX57" s="0"/>
      <c r="NY57" s="0"/>
      <c r="NZ57" s="0"/>
      <c r="OA57" s="0"/>
      <c r="OB57" s="0"/>
      <c r="OC57" s="0"/>
      <c r="OD57" s="0"/>
      <c r="OE57" s="0"/>
      <c r="OF57" s="0"/>
      <c r="OG57" s="0"/>
      <c r="OH57" s="0"/>
      <c r="OI57" s="0"/>
      <c r="OJ57" s="0"/>
      <c r="OK57" s="0"/>
      <c r="OL57" s="0"/>
      <c r="OM57" s="0"/>
      <c r="ON57" s="0"/>
      <c r="OO57" s="0"/>
      <c r="OP57" s="0"/>
      <c r="OQ57" s="0"/>
      <c r="OR57" s="0"/>
      <c r="OS57" s="0"/>
      <c r="OT57" s="0"/>
      <c r="OU57" s="0"/>
      <c r="OV57" s="0"/>
      <c r="OW57" s="0"/>
      <c r="OX57" s="0"/>
      <c r="OY57" s="0"/>
      <c r="OZ57" s="0"/>
      <c r="PA57" s="0"/>
      <c r="PB57" s="0"/>
      <c r="PC57" s="0"/>
      <c r="PD57" s="0"/>
      <c r="PE57" s="0"/>
      <c r="PF57" s="0"/>
      <c r="PG57" s="0"/>
      <c r="PH57" s="0"/>
      <c r="PI57" s="0"/>
      <c r="PJ57" s="0"/>
      <c r="PK57" s="0"/>
      <c r="PL57" s="0"/>
      <c r="PM57" s="0"/>
      <c r="PN57" s="0"/>
      <c r="PO57" s="0"/>
      <c r="PP57" s="0"/>
      <c r="PQ57" s="0"/>
      <c r="PR57" s="0"/>
      <c r="PS57" s="0"/>
      <c r="PT57" s="0"/>
      <c r="PU57" s="0"/>
      <c r="PV57" s="0"/>
      <c r="PW57" s="0"/>
      <c r="PX57" s="0"/>
      <c r="PY57" s="0"/>
      <c r="PZ57" s="0"/>
      <c r="QA57" s="0"/>
      <c r="QB57" s="0"/>
      <c r="QC57" s="0"/>
      <c r="QD57" s="0"/>
      <c r="QE57" s="0"/>
      <c r="QF57" s="0"/>
      <c r="QG57" s="0"/>
      <c r="QH57" s="0"/>
      <c r="QI57" s="0"/>
      <c r="QJ57" s="0"/>
      <c r="QK57" s="0"/>
      <c r="QL57" s="0"/>
      <c r="QM57" s="0"/>
      <c r="QN57" s="0"/>
      <c r="QO57" s="0"/>
      <c r="QP57" s="0"/>
      <c r="QQ57" s="0"/>
      <c r="QR57" s="0"/>
      <c r="QS57" s="0"/>
      <c r="QT57" s="0"/>
      <c r="QU57" s="0"/>
      <c r="QV57" s="0"/>
      <c r="QW57" s="0"/>
      <c r="QX57" s="0"/>
      <c r="QY57" s="0"/>
      <c r="QZ57" s="0"/>
      <c r="RA57" s="0"/>
      <c r="RB57" s="0"/>
      <c r="RC57" s="0"/>
      <c r="RD57" s="0"/>
      <c r="RE57" s="0"/>
      <c r="RF57" s="0"/>
      <c r="RG57" s="0"/>
      <c r="RH57" s="0"/>
      <c r="RI57" s="0"/>
      <c r="RJ57" s="0"/>
      <c r="RK57" s="0"/>
      <c r="RL57" s="0"/>
      <c r="RM57" s="0"/>
      <c r="RN57" s="0"/>
      <c r="RO57" s="0"/>
      <c r="RP57" s="0"/>
      <c r="RQ57" s="0"/>
      <c r="RR57" s="0"/>
      <c r="RS57" s="0"/>
      <c r="RT57" s="0"/>
      <c r="RU57" s="0"/>
      <c r="RV57" s="0"/>
      <c r="RW57" s="0"/>
      <c r="RX57" s="0"/>
      <c r="RY57" s="0"/>
      <c r="RZ57" s="0"/>
      <c r="SA57" s="0"/>
      <c r="SB57" s="0"/>
      <c r="SC57" s="0"/>
      <c r="SD57" s="0"/>
      <c r="SE57" s="0"/>
      <c r="SF57" s="0"/>
      <c r="SG57" s="0"/>
      <c r="SH57" s="0"/>
      <c r="SI57" s="0"/>
      <c r="SJ57" s="0"/>
      <c r="SK57" s="0"/>
      <c r="SL57" s="0"/>
      <c r="SM57" s="0"/>
      <c r="SN57" s="0"/>
      <c r="SO57" s="0"/>
      <c r="SP57" s="0"/>
      <c r="SQ57" s="0"/>
      <c r="SR57" s="0"/>
      <c r="SS57" s="0"/>
      <c r="ST57" s="0"/>
      <c r="SU57" s="0"/>
      <c r="SV57" s="0"/>
      <c r="SW57" s="0"/>
      <c r="SX57" s="0"/>
      <c r="SY57" s="0"/>
      <c r="SZ57" s="0"/>
      <c r="TA57" s="0"/>
      <c r="TB57" s="0"/>
      <c r="TC57" s="0"/>
      <c r="TD57" s="0"/>
      <c r="TE57" s="0"/>
      <c r="TF57" s="0"/>
      <c r="TG57" s="0"/>
      <c r="TH57" s="0"/>
      <c r="TI57" s="0"/>
      <c r="TJ57" s="0"/>
      <c r="TK57" s="0"/>
      <c r="TL57" s="0"/>
      <c r="TM57" s="0"/>
      <c r="TN57" s="0"/>
      <c r="TO57" s="0"/>
      <c r="TP57" s="0"/>
      <c r="TQ57" s="0"/>
      <c r="TR57" s="0"/>
      <c r="TS57" s="0"/>
      <c r="TT57" s="0"/>
      <c r="TU57" s="0"/>
      <c r="TV57" s="0"/>
      <c r="TW57" s="0"/>
      <c r="TX57" s="0"/>
      <c r="TY57" s="0"/>
      <c r="TZ57" s="0"/>
      <c r="UA57" s="0"/>
      <c r="UB57" s="0"/>
      <c r="UC57" s="0"/>
      <c r="UD57" s="0"/>
      <c r="UE57" s="0"/>
      <c r="UF57" s="0"/>
      <c r="UG57" s="0"/>
      <c r="UH57" s="0"/>
      <c r="UI57" s="0"/>
      <c r="UJ57" s="0"/>
      <c r="UK57" s="0"/>
      <c r="UL57" s="0"/>
      <c r="UM57" s="0"/>
      <c r="UN57" s="0"/>
      <c r="UO57" s="0"/>
      <c r="UP57" s="0"/>
      <c r="UQ57" s="0"/>
      <c r="UR57" s="0"/>
      <c r="US57" s="0"/>
      <c r="UT57" s="0"/>
      <c r="UU57" s="0"/>
      <c r="UV57" s="0"/>
      <c r="UW57" s="0"/>
      <c r="UX57" s="0"/>
      <c r="UY57" s="0"/>
      <c r="UZ57" s="0"/>
      <c r="VA57" s="0"/>
      <c r="VB57" s="0"/>
      <c r="VC57" s="0"/>
      <c r="VD57" s="0"/>
      <c r="VE57" s="0"/>
      <c r="VF57" s="0"/>
      <c r="VG57" s="0"/>
      <c r="VH57" s="0"/>
      <c r="VI57" s="0"/>
      <c r="VJ57" s="0"/>
      <c r="VK57" s="0"/>
      <c r="VL57" s="0"/>
      <c r="VM57" s="0"/>
      <c r="VN57" s="0"/>
      <c r="VO57" s="0"/>
      <c r="VP57" s="0"/>
      <c r="VQ57" s="0"/>
      <c r="VR57" s="0"/>
      <c r="VS57" s="0"/>
      <c r="VT57" s="0"/>
      <c r="VU57" s="0"/>
      <c r="VV57" s="0"/>
      <c r="VW57" s="0"/>
      <c r="VX57" s="0"/>
      <c r="VY57" s="0"/>
      <c r="VZ57" s="0"/>
      <c r="WA57" s="0"/>
      <c r="WB57" s="0"/>
      <c r="WC57" s="0"/>
      <c r="WD57" s="0"/>
      <c r="WE57" s="0"/>
      <c r="WF57" s="0"/>
      <c r="WG57" s="0"/>
      <c r="WH57" s="0"/>
      <c r="WI57" s="0"/>
      <c r="WJ57" s="0"/>
      <c r="WK57" s="0"/>
      <c r="WL57" s="0"/>
      <c r="WM57" s="0"/>
      <c r="WN57" s="0"/>
      <c r="WO57" s="0"/>
      <c r="WP57" s="0"/>
      <c r="WQ57" s="0"/>
      <c r="WR57" s="0"/>
      <c r="WS57" s="0"/>
      <c r="WT57" s="0"/>
      <c r="WU57" s="0"/>
      <c r="WV57" s="0"/>
      <c r="WW57" s="0"/>
      <c r="WX57" s="0"/>
      <c r="WY57" s="0"/>
      <c r="WZ57" s="0"/>
      <c r="XA57" s="0"/>
      <c r="XB57" s="0"/>
      <c r="XC57" s="0"/>
      <c r="XD57" s="0"/>
      <c r="XE57" s="0"/>
      <c r="XF57" s="0"/>
      <c r="XG57" s="0"/>
      <c r="XH57" s="0"/>
      <c r="XI57" s="0"/>
      <c r="XJ57" s="0"/>
      <c r="XK57" s="0"/>
      <c r="XL57" s="0"/>
      <c r="XM57" s="0"/>
      <c r="XN57" s="0"/>
      <c r="XO57" s="0"/>
      <c r="XP57" s="0"/>
      <c r="XQ57" s="0"/>
      <c r="XR57" s="0"/>
      <c r="XS57" s="0"/>
      <c r="XT57" s="0"/>
      <c r="XU57" s="0"/>
      <c r="XV57" s="0"/>
      <c r="XW57" s="0"/>
      <c r="XX57" s="0"/>
      <c r="XY57" s="0"/>
      <c r="XZ57" s="0"/>
      <c r="YA57" s="0"/>
      <c r="YB57" s="0"/>
      <c r="YC57" s="0"/>
      <c r="YD57" s="0"/>
      <c r="YE57" s="0"/>
      <c r="YF57" s="0"/>
      <c r="YG57" s="0"/>
      <c r="YH57" s="0"/>
      <c r="YI57" s="0"/>
      <c r="YJ57" s="0"/>
      <c r="YK57" s="0"/>
      <c r="YL57" s="0"/>
      <c r="YM57" s="0"/>
      <c r="YN57" s="0"/>
      <c r="YO57" s="0"/>
      <c r="YP57" s="0"/>
      <c r="YQ57" s="0"/>
      <c r="YR57" s="0"/>
      <c r="YS57" s="0"/>
      <c r="YT57" s="0"/>
      <c r="YU57" s="0"/>
      <c r="YV57" s="0"/>
      <c r="YW57" s="0"/>
      <c r="YX57" s="0"/>
      <c r="YY57" s="0"/>
      <c r="YZ57" s="0"/>
      <c r="ZA57" s="0"/>
      <c r="ZB57" s="0"/>
      <c r="ZC57" s="0"/>
      <c r="ZD57" s="0"/>
      <c r="ZE57" s="0"/>
      <c r="ZF57" s="0"/>
      <c r="ZG57" s="0"/>
      <c r="ZH57" s="0"/>
      <c r="ZI57" s="0"/>
      <c r="ZJ57" s="0"/>
      <c r="ZK57" s="0"/>
      <c r="ZL57" s="0"/>
      <c r="ZM57" s="0"/>
      <c r="ZN57" s="0"/>
      <c r="ZO57" s="0"/>
      <c r="ZP57" s="0"/>
      <c r="ZQ57" s="0"/>
      <c r="ZR57" s="0"/>
      <c r="ZS57" s="0"/>
      <c r="ZT57" s="0"/>
      <c r="ZU57" s="0"/>
      <c r="ZV57" s="0"/>
      <c r="ZW57" s="0"/>
      <c r="ZX57" s="0"/>
      <c r="ZY57" s="0"/>
      <c r="ZZ57" s="0"/>
      <c r="AAA57" s="0"/>
      <c r="AAB57" s="0"/>
      <c r="AAC57" s="0"/>
      <c r="AAD57" s="0"/>
      <c r="AAE57" s="0"/>
      <c r="AAF57" s="0"/>
      <c r="AAG57" s="0"/>
      <c r="AAH57" s="0"/>
      <c r="AAI57" s="0"/>
      <c r="AAJ57" s="0"/>
      <c r="AAK57" s="0"/>
      <c r="AAL57" s="0"/>
      <c r="AAM57" s="0"/>
      <c r="AAN57" s="0"/>
      <c r="AAO57" s="0"/>
      <c r="AAP57" s="0"/>
      <c r="AAQ57" s="0"/>
      <c r="AAR57" s="0"/>
      <c r="AAS57" s="0"/>
      <c r="AAT57" s="0"/>
      <c r="AAU57" s="0"/>
      <c r="AAV57" s="0"/>
      <c r="AAW57" s="0"/>
      <c r="AAX57" s="0"/>
      <c r="AAY57" s="0"/>
      <c r="AAZ57" s="0"/>
      <c r="ABA57" s="0"/>
      <c r="ABB57" s="0"/>
      <c r="ABC57" s="0"/>
      <c r="ABD57" s="0"/>
      <c r="ABE57" s="0"/>
      <c r="ABF57" s="0"/>
      <c r="ABG57" s="0"/>
      <c r="ABH57" s="0"/>
      <c r="ABI57" s="0"/>
      <c r="ABJ57" s="0"/>
      <c r="ABK57" s="0"/>
      <c r="ABL57" s="0"/>
      <c r="ABM57" s="0"/>
      <c r="ABN57" s="0"/>
      <c r="ABO57" s="0"/>
      <c r="ABP57" s="0"/>
      <c r="ABQ57" s="0"/>
      <c r="ABR57" s="0"/>
      <c r="ABS57" s="0"/>
      <c r="ABT57" s="0"/>
      <c r="ABU57" s="0"/>
      <c r="ABV57" s="0"/>
      <c r="ABW57" s="0"/>
      <c r="ABX57" s="0"/>
      <c r="ABY57" s="0"/>
      <c r="ABZ57" s="0"/>
      <c r="ACA57" s="0"/>
      <c r="ACB57" s="0"/>
      <c r="ACC57" s="0"/>
      <c r="ACD57" s="0"/>
      <c r="ACE57" s="0"/>
      <c r="ACF57" s="0"/>
      <c r="ACG57" s="0"/>
      <c r="ACH57" s="0"/>
      <c r="ACI57" s="0"/>
      <c r="ACJ57" s="0"/>
      <c r="ACK57" s="0"/>
      <c r="ACL57" s="0"/>
      <c r="ACM57" s="0"/>
      <c r="ACN57" s="0"/>
      <c r="ACO57" s="0"/>
      <c r="ACP57" s="0"/>
      <c r="ACQ57" s="0"/>
      <c r="ACR57" s="0"/>
      <c r="ACS57" s="0"/>
      <c r="ACT57" s="0"/>
      <c r="ACU57" s="0"/>
      <c r="ACV57" s="0"/>
      <c r="ACW57" s="0"/>
      <c r="ACX57" s="0"/>
      <c r="ACY57" s="0"/>
      <c r="ACZ57" s="0"/>
      <c r="ADA57" s="0"/>
      <c r="ADB57" s="0"/>
      <c r="ADC57" s="0"/>
      <c r="ADD57" s="0"/>
      <c r="ADE57" s="0"/>
      <c r="ADF57" s="0"/>
      <c r="ADG57" s="0"/>
      <c r="ADH57" s="0"/>
      <c r="ADI57" s="0"/>
      <c r="ADJ57" s="0"/>
      <c r="ADK57" s="0"/>
      <c r="ADL57" s="0"/>
      <c r="ADM57" s="0"/>
      <c r="ADN57" s="0"/>
      <c r="ADO57" s="0"/>
      <c r="ADP57" s="0"/>
      <c r="ADQ57" s="0"/>
      <c r="ADR57" s="0"/>
      <c r="ADS57" s="0"/>
      <c r="ADT57" s="0"/>
      <c r="ADU57" s="0"/>
      <c r="ADV57" s="0"/>
      <c r="ADW57" s="0"/>
      <c r="ADX57" s="0"/>
      <c r="ADY57" s="0"/>
      <c r="ADZ57" s="0"/>
      <c r="AEA57" s="0"/>
      <c r="AEB57" s="0"/>
      <c r="AEC57" s="0"/>
      <c r="AED57" s="0"/>
      <c r="AEE57" s="0"/>
      <c r="AEF57" s="0"/>
      <c r="AEG57" s="0"/>
      <c r="AEH57" s="0"/>
      <c r="AEI57" s="0"/>
      <c r="AEJ57" s="0"/>
      <c r="AEK57" s="0"/>
      <c r="AEL57" s="0"/>
      <c r="AEM57" s="0"/>
      <c r="AEN57" s="0"/>
      <c r="AEO57" s="0"/>
      <c r="AEP57" s="0"/>
      <c r="AEQ57" s="0"/>
      <c r="AER57" s="0"/>
      <c r="AES57" s="0"/>
      <c r="AET57" s="0"/>
      <c r="AEU57" s="0"/>
      <c r="AEV57" s="0"/>
      <c r="AEW57" s="0"/>
      <c r="AEX57" s="0"/>
      <c r="AEY57" s="0"/>
      <c r="AEZ57" s="0"/>
      <c r="AFA57" s="0"/>
      <c r="AFB57" s="0"/>
      <c r="AFC57" s="0"/>
      <c r="AFD57" s="0"/>
      <c r="AFE57" s="0"/>
      <c r="AFF57" s="0"/>
      <c r="AFG57" s="0"/>
      <c r="AFH57" s="0"/>
      <c r="AFI57" s="0"/>
      <c r="AFJ57" s="0"/>
      <c r="AFK57" s="0"/>
      <c r="AFL57" s="0"/>
      <c r="AFM57" s="0"/>
      <c r="AFN57" s="0"/>
      <c r="AFO57" s="0"/>
      <c r="AFP57" s="0"/>
      <c r="AFQ57" s="0"/>
      <c r="AFR57" s="0"/>
      <c r="AFS57" s="0"/>
      <c r="AFT57" s="0"/>
      <c r="AFU57" s="0"/>
      <c r="AFV57" s="0"/>
      <c r="AFW57" s="0"/>
      <c r="AFX57" s="0"/>
      <c r="AFY57" s="0"/>
      <c r="AFZ57" s="0"/>
      <c r="AGA57" s="0"/>
      <c r="AGB57" s="0"/>
      <c r="AGC57" s="0"/>
      <c r="AGD57" s="0"/>
      <c r="AGE57" s="0"/>
      <c r="AGF57" s="0"/>
      <c r="AGG57" s="0"/>
      <c r="AGH57" s="0"/>
      <c r="AGI57" s="0"/>
      <c r="AGJ57" s="0"/>
      <c r="AGK57" s="0"/>
      <c r="AGL57" s="0"/>
      <c r="AGM57" s="0"/>
      <c r="AGN57" s="0"/>
      <c r="AGO57" s="0"/>
      <c r="AGP57" s="0"/>
      <c r="AGQ57" s="0"/>
      <c r="AGR57" s="0"/>
      <c r="AGS57" s="0"/>
      <c r="AGT57" s="0"/>
      <c r="AGU57" s="0"/>
      <c r="AGV57" s="0"/>
      <c r="AGW57" s="0"/>
      <c r="AGX57" s="0"/>
      <c r="AGY57" s="0"/>
      <c r="AGZ57" s="0"/>
      <c r="AHA57" s="0"/>
      <c r="AHB57" s="0"/>
      <c r="AHC57" s="0"/>
      <c r="AHD57" s="0"/>
      <c r="AHE57" s="0"/>
      <c r="AHF57" s="0"/>
      <c r="AHG57" s="0"/>
      <c r="AHH57" s="0"/>
      <c r="AHI57" s="0"/>
      <c r="AHJ57" s="0"/>
      <c r="AHK57" s="0"/>
      <c r="AHL57" s="0"/>
      <c r="AHM57" s="0"/>
      <c r="AHN57" s="0"/>
      <c r="AHO57" s="0"/>
      <c r="AHP57" s="0"/>
      <c r="AHQ57" s="0"/>
      <c r="AHR57" s="0"/>
      <c r="AHS57" s="0"/>
      <c r="AHT57" s="0"/>
      <c r="AHU57" s="0"/>
      <c r="AHV57" s="0"/>
      <c r="AHW57" s="0"/>
      <c r="AHX57" s="0"/>
      <c r="AHY57" s="0"/>
      <c r="AHZ57" s="0"/>
      <c r="AIA57" s="0"/>
      <c r="AIB57" s="0"/>
      <c r="AIC57" s="0"/>
      <c r="AID57" s="0"/>
      <c r="AIE57" s="0"/>
      <c r="AIF57" s="0"/>
      <c r="AIG57" s="0"/>
      <c r="AIH57" s="0"/>
      <c r="AII57" s="0"/>
      <c r="AIJ57" s="0"/>
      <c r="AIK57" s="0"/>
      <c r="AIL57" s="0"/>
      <c r="AIM57" s="0"/>
      <c r="AIN57" s="0"/>
      <c r="AIO57" s="0"/>
      <c r="AIP57" s="0"/>
      <c r="AIQ57" s="0"/>
      <c r="AIR57" s="0"/>
      <c r="AIS57" s="0"/>
      <c r="AIT57" s="0"/>
      <c r="AIU57" s="0"/>
      <c r="AIV57" s="0"/>
      <c r="AIW57" s="0"/>
      <c r="AIX57" s="0"/>
      <c r="AIY57" s="0"/>
      <c r="AIZ57" s="0"/>
      <c r="AJA57" s="0"/>
      <c r="AJB57" s="0"/>
      <c r="AJC57" s="0"/>
      <c r="AJD57" s="0"/>
      <c r="AJE57" s="0"/>
      <c r="AJF57" s="0"/>
      <c r="AJG57" s="0"/>
      <c r="AJH57" s="0"/>
      <c r="AJI57" s="0"/>
      <c r="AJJ57" s="0"/>
      <c r="AJK57" s="0"/>
      <c r="AJL57" s="0"/>
      <c r="AJM57" s="0"/>
      <c r="AJN57" s="0"/>
      <c r="AJO57" s="0"/>
      <c r="AJP57" s="0"/>
      <c r="AJQ57" s="0"/>
      <c r="AJR57" s="0"/>
      <c r="AJS57" s="0"/>
      <c r="AJT57" s="0"/>
      <c r="AJU57" s="0"/>
      <c r="AJV57" s="0"/>
      <c r="AJW57" s="0"/>
      <c r="AJX57" s="0"/>
      <c r="AJY57" s="0"/>
      <c r="AJZ57" s="0"/>
      <c r="AKA57" s="0"/>
      <c r="AKB57" s="0"/>
      <c r="AKC57" s="0"/>
      <c r="AKD57" s="0"/>
      <c r="AKE57" s="0"/>
      <c r="AKF57" s="0"/>
      <c r="AKG57" s="0"/>
      <c r="AKH57" s="0"/>
      <c r="AKI57" s="0"/>
      <c r="AKJ57" s="0"/>
      <c r="AKK57" s="0"/>
      <c r="AKL57" s="0"/>
      <c r="AKM57" s="0"/>
      <c r="AKN57" s="0"/>
      <c r="AKO57" s="0"/>
      <c r="AKP57" s="0"/>
      <c r="AKQ57" s="0"/>
      <c r="AKR57" s="0"/>
      <c r="AKS57" s="0"/>
      <c r="AKT57" s="0"/>
      <c r="AKU57" s="0"/>
      <c r="AKV57" s="0"/>
      <c r="AKW57" s="0"/>
      <c r="AKX57" s="0"/>
      <c r="AKY57" s="0"/>
      <c r="AKZ57" s="0"/>
      <c r="ALA57" s="0"/>
      <c r="ALB57" s="0"/>
      <c r="ALC57" s="0"/>
      <c r="ALD57" s="0"/>
      <c r="ALE57" s="0"/>
      <c r="ALF57" s="0"/>
      <c r="ALG57" s="0"/>
      <c r="ALH57" s="0"/>
      <c r="ALI57" s="0"/>
      <c r="ALJ57" s="0"/>
      <c r="ALK57" s="0"/>
    </row>
    <row r="58" customFormat="false" ht="12.8" hidden="false" customHeight="false" outlineLevel="0" collapsed="false">
      <c r="B58" s="24"/>
      <c r="C58" s="50"/>
      <c r="D58" s="50"/>
      <c r="E58" s="64" t="s">
        <v>208</v>
      </c>
      <c r="F58" s="299" t="s">
        <v>108</v>
      </c>
      <c r="G58" s="300" t="n">
        <v>70.1175</v>
      </c>
      <c r="H58" s="301" t="n">
        <v>70.5338</v>
      </c>
      <c r="I58" s="302" t="n">
        <f aca="false">H58-G58</f>
        <v>0.416299999999993</v>
      </c>
      <c r="J58" s="300" t="n">
        <v>52.7397</v>
      </c>
      <c r="K58" s="301" t="n">
        <v>56.4411</v>
      </c>
      <c r="L58" s="302" t="n">
        <f aca="false">K58-J58</f>
        <v>3.7014</v>
      </c>
      <c r="M58" s="301" t="n">
        <v>23.9046</v>
      </c>
      <c r="N58" s="301" t="n">
        <v>24.1846</v>
      </c>
      <c r="O58" s="302" t="n">
        <f aca="false">N58-M58</f>
        <v>0.280000000000001</v>
      </c>
      <c r="P58" s="303" t="n">
        <f aca="false">100*I58/(I58+L58+O58)</f>
        <v>9.46631193578446</v>
      </c>
      <c r="Q58" s="262" t="n">
        <f aca="false">QUARTILE(P56:P60,3)+(1.5*(QUARTILE(P56:P60,3)-QUARTILE(P56:P60,1)))</f>
        <v>14.2234707525077</v>
      </c>
      <c r="R58" s="165"/>
      <c r="S58" s="264"/>
      <c r="T58" s="264"/>
      <c r="U58" s="264"/>
      <c r="V58" s="303" t="n">
        <f aca="false">100*L58/(I58+L58+O58)</f>
        <v>84.1667235145646</v>
      </c>
      <c r="W58" s="262" t="n">
        <f aca="false">QUARTILE(V56:V60,3)+(1.5*(QUARTILE(V56:V60,3)-QUARTILE(V56:V60,1)))</f>
        <v>91.7920739371841</v>
      </c>
      <c r="X58" s="165"/>
      <c r="Y58" s="264"/>
      <c r="Z58" s="264"/>
      <c r="AA58" s="243"/>
      <c r="AB58" s="303" t="n">
        <f aca="false">100*O58/(I58+L58+O58)</f>
        <v>6.36696454965099</v>
      </c>
      <c r="AC58" s="262" t="n">
        <f aca="false">QUARTILE(AB56:AB60,3)+(1.5*(QUARTILE(AB56:AB60,3)-QUARTILE(AB56:AB60,1)))</f>
        <v>6.91238954249308</v>
      </c>
      <c r="AD58" s="165"/>
      <c r="AE58" s="264"/>
      <c r="AF58" s="264"/>
      <c r="AG58" s="264"/>
      <c r="AH58" s="33"/>
      <c r="DK58" s="0"/>
      <c r="DL58" s="0"/>
      <c r="DM58" s="0"/>
      <c r="DN58" s="0"/>
      <c r="DO58" s="0"/>
      <c r="DP58" s="0"/>
      <c r="DQ58" s="0"/>
      <c r="DR58" s="0"/>
      <c r="DS58" s="0"/>
      <c r="DT58" s="0"/>
      <c r="DU58" s="0"/>
      <c r="DV58" s="0"/>
      <c r="DW58" s="0"/>
      <c r="DX58" s="0"/>
      <c r="DY58" s="0"/>
      <c r="DZ58" s="0"/>
      <c r="EA58" s="0"/>
      <c r="EB58" s="0"/>
      <c r="EC58" s="0"/>
      <c r="ED58" s="0"/>
      <c r="EE58" s="0"/>
      <c r="EF58" s="0"/>
      <c r="EG58" s="0"/>
      <c r="EH58" s="0"/>
      <c r="EI58" s="0"/>
      <c r="EJ58" s="0"/>
      <c r="EK58" s="0"/>
      <c r="EL58" s="0"/>
      <c r="EM58" s="0"/>
      <c r="EN58" s="0"/>
      <c r="EO58" s="0"/>
      <c r="EP58" s="0"/>
      <c r="EQ58" s="0"/>
      <c r="ER58" s="0"/>
      <c r="ES58" s="0"/>
      <c r="ET58" s="0"/>
      <c r="EU58" s="0"/>
      <c r="EV58" s="0"/>
      <c r="EW58" s="0"/>
      <c r="EX58" s="0"/>
      <c r="EY58" s="0"/>
      <c r="EZ58" s="0"/>
      <c r="FA58" s="0"/>
      <c r="FB58" s="0"/>
      <c r="FC58" s="0"/>
      <c r="FD58" s="0"/>
      <c r="FE58" s="0"/>
      <c r="FF58" s="0"/>
      <c r="FG58" s="0"/>
      <c r="FH58" s="0"/>
      <c r="FI58" s="0"/>
      <c r="FJ58" s="0"/>
      <c r="FK58" s="0"/>
      <c r="FL58" s="0"/>
      <c r="FM58" s="0"/>
      <c r="FN58" s="0"/>
      <c r="FO58" s="0"/>
      <c r="FP58" s="0"/>
      <c r="FQ58" s="0"/>
      <c r="FR58" s="0"/>
      <c r="FS58" s="0"/>
      <c r="FT58" s="0"/>
      <c r="FU58" s="0"/>
      <c r="FV58" s="0"/>
      <c r="FW58" s="0"/>
      <c r="FX58" s="0"/>
      <c r="FY58" s="0"/>
      <c r="FZ58" s="0"/>
      <c r="GA58" s="0"/>
      <c r="GB58" s="0"/>
      <c r="GC58" s="0"/>
      <c r="GD58" s="0"/>
      <c r="GE58" s="0"/>
      <c r="GF58" s="0"/>
      <c r="GG58" s="0"/>
      <c r="GH58" s="0"/>
      <c r="GI58" s="0"/>
      <c r="GJ58" s="0"/>
      <c r="GK58" s="0"/>
      <c r="GL58" s="0"/>
      <c r="GM58" s="0"/>
      <c r="GN58" s="0"/>
      <c r="GO58" s="0"/>
      <c r="GP58" s="0"/>
      <c r="GQ58" s="0"/>
      <c r="GR58" s="0"/>
      <c r="GS58" s="0"/>
      <c r="GT58" s="0"/>
      <c r="GU58" s="0"/>
      <c r="GV58" s="0"/>
      <c r="GW58" s="0"/>
      <c r="GX58" s="0"/>
      <c r="GY58" s="0"/>
      <c r="GZ58" s="0"/>
      <c r="HA58" s="0"/>
      <c r="HB58" s="0"/>
      <c r="HC58" s="0"/>
      <c r="HD58" s="0"/>
      <c r="HE58" s="0"/>
      <c r="HF58" s="0"/>
      <c r="HG58" s="0"/>
      <c r="HH58" s="0"/>
      <c r="HI58" s="0"/>
      <c r="HJ58" s="0"/>
      <c r="HK58" s="0"/>
      <c r="HL58" s="0"/>
      <c r="HM58" s="0"/>
      <c r="HN58" s="0"/>
      <c r="HO58" s="0"/>
      <c r="HP58" s="0"/>
      <c r="HQ58" s="0"/>
      <c r="HR58" s="0"/>
      <c r="HS58" s="0"/>
      <c r="HT58" s="0"/>
      <c r="HU58" s="0"/>
      <c r="HV58" s="0"/>
      <c r="HW58" s="0"/>
      <c r="HX58" s="0"/>
      <c r="HY58" s="0"/>
      <c r="HZ58" s="0"/>
      <c r="IA58" s="0"/>
      <c r="IB58" s="0"/>
      <c r="IC58" s="0"/>
      <c r="ID58" s="0"/>
      <c r="IE58" s="0"/>
      <c r="IF58" s="0"/>
      <c r="IG58" s="0"/>
      <c r="IH58" s="0"/>
      <c r="II58" s="0"/>
      <c r="IJ58" s="0"/>
      <c r="IK58" s="0"/>
      <c r="IL58" s="0"/>
      <c r="IM58" s="0"/>
      <c r="IN58" s="0"/>
      <c r="IO58" s="0"/>
      <c r="IP58" s="0"/>
      <c r="IQ58" s="0"/>
      <c r="IR58" s="0"/>
      <c r="IS58" s="0"/>
      <c r="IT58" s="0"/>
      <c r="IU58" s="0"/>
      <c r="IV58" s="0"/>
      <c r="IW58" s="0"/>
      <c r="IX58" s="0"/>
      <c r="IY58" s="0"/>
      <c r="IZ58" s="0"/>
      <c r="JA58" s="0"/>
      <c r="JB58" s="0"/>
      <c r="JC58" s="0"/>
      <c r="JD58" s="0"/>
      <c r="JE58" s="0"/>
      <c r="JF58" s="0"/>
      <c r="JG58" s="0"/>
      <c r="JH58" s="0"/>
      <c r="JI58" s="0"/>
      <c r="JJ58" s="0"/>
      <c r="JK58" s="0"/>
      <c r="JL58" s="0"/>
      <c r="JM58" s="0"/>
      <c r="JN58" s="0"/>
      <c r="JO58" s="0"/>
      <c r="JP58" s="0"/>
      <c r="JQ58" s="0"/>
      <c r="JR58" s="0"/>
      <c r="JS58" s="0"/>
      <c r="JT58" s="0"/>
      <c r="JU58" s="0"/>
      <c r="JV58" s="0"/>
      <c r="JW58" s="0"/>
      <c r="JX58" s="0"/>
      <c r="JY58" s="0"/>
      <c r="JZ58" s="0"/>
      <c r="KA58" s="0"/>
      <c r="KB58" s="0"/>
      <c r="KC58" s="0"/>
      <c r="KD58" s="0"/>
      <c r="KE58" s="0"/>
      <c r="KF58" s="0"/>
      <c r="KG58" s="0"/>
      <c r="KH58" s="0"/>
      <c r="KI58" s="0"/>
      <c r="KJ58" s="0"/>
      <c r="KK58" s="0"/>
      <c r="KL58" s="0"/>
      <c r="KM58" s="0"/>
      <c r="KN58" s="0"/>
      <c r="KO58" s="0"/>
      <c r="KP58" s="0"/>
      <c r="KQ58" s="0"/>
      <c r="KR58" s="0"/>
      <c r="KS58" s="0"/>
      <c r="KT58" s="0"/>
      <c r="KU58" s="0"/>
      <c r="KV58" s="0"/>
      <c r="KW58" s="0"/>
      <c r="KX58" s="0"/>
      <c r="KY58" s="0"/>
      <c r="KZ58" s="0"/>
      <c r="LA58" s="0"/>
      <c r="LB58" s="0"/>
      <c r="LC58" s="0"/>
      <c r="LD58" s="0"/>
      <c r="LE58" s="0"/>
      <c r="LF58" s="0"/>
      <c r="LG58" s="0"/>
      <c r="LH58" s="0"/>
      <c r="LI58" s="0"/>
      <c r="LJ58" s="0"/>
      <c r="LK58" s="0"/>
      <c r="LL58" s="0"/>
      <c r="LM58" s="0"/>
      <c r="LN58" s="0"/>
      <c r="LO58" s="0"/>
      <c r="LP58" s="0"/>
      <c r="LQ58" s="0"/>
      <c r="LR58" s="0"/>
      <c r="LS58" s="0"/>
      <c r="LT58" s="0"/>
      <c r="LU58" s="0"/>
      <c r="LV58" s="0"/>
      <c r="LW58" s="0"/>
      <c r="LX58" s="0"/>
      <c r="LY58" s="0"/>
      <c r="LZ58" s="0"/>
      <c r="MA58" s="0"/>
      <c r="MB58" s="0"/>
      <c r="MC58" s="0"/>
      <c r="MD58" s="0"/>
      <c r="ME58" s="0"/>
      <c r="MF58" s="0"/>
      <c r="MG58" s="0"/>
      <c r="MH58" s="0"/>
      <c r="MI58" s="0"/>
      <c r="MJ58" s="0"/>
      <c r="MK58" s="0"/>
      <c r="ML58" s="0"/>
      <c r="MM58" s="0"/>
      <c r="MN58" s="0"/>
      <c r="MO58" s="0"/>
      <c r="MP58" s="0"/>
      <c r="MQ58" s="0"/>
      <c r="MR58" s="0"/>
      <c r="MS58" s="0"/>
      <c r="MT58" s="0"/>
      <c r="MU58" s="0"/>
      <c r="MV58" s="0"/>
      <c r="MW58" s="0"/>
      <c r="MX58" s="0"/>
      <c r="MY58" s="0"/>
      <c r="MZ58" s="0"/>
      <c r="NA58" s="0"/>
      <c r="NB58" s="0"/>
      <c r="NC58" s="0"/>
      <c r="ND58" s="0"/>
      <c r="NE58" s="0"/>
      <c r="NF58" s="0"/>
      <c r="NG58" s="0"/>
      <c r="NH58" s="0"/>
      <c r="NI58" s="0"/>
      <c r="NJ58" s="0"/>
      <c r="NK58" s="0"/>
      <c r="NL58" s="0"/>
      <c r="NM58" s="0"/>
      <c r="NN58" s="0"/>
      <c r="NO58" s="0"/>
      <c r="NP58" s="0"/>
      <c r="NQ58" s="0"/>
      <c r="NR58" s="0"/>
      <c r="NS58" s="0"/>
      <c r="NT58" s="0"/>
      <c r="NU58" s="0"/>
      <c r="NV58" s="0"/>
      <c r="NW58" s="0"/>
      <c r="NX58" s="0"/>
      <c r="NY58" s="0"/>
      <c r="NZ58" s="0"/>
      <c r="OA58" s="0"/>
      <c r="OB58" s="0"/>
      <c r="OC58" s="0"/>
      <c r="OD58" s="0"/>
      <c r="OE58" s="0"/>
      <c r="OF58" s="0"/>
      <c r="OG58" s="0"/>
      <c r="OH58" s="0"/>
      <c r="OI58" s="0"/>
      <c r="OJ58" s="0"/>
      <c r="OK58" s="0"/>
      <c r="OL58" s="0"/>
      <c r="OM58" s="0"/>
      <c r="ON58" s="0"/>
      <c r="OO58" s="0"/>
      <c r="OP58" s="0"/>
      <c r="OQ58" s="0"/>
      <c r="OR58" s="0"/>
      <c r="OS58" s="0"/>
      <c r="OT58" s="0"/>
      <c r="OU58" s="0"/>
      <c r="OV58" s="0"/>
      <c r="OW58" s="0"/>
      <c r="OX58" s="0"/>
      <c r="OY58" s="0"/>
      <c r="OZ58" s="0"/>
      <c r="PA58" s="0"/>
      <c r="PB58" s="0"/>
      <c r="PC58" s="0"/>
      <c r="PD58" s="0"/>
      <c r="PE58" s="0"/>
      <c r="PF58" s="0"/>
      <c r="PG58" s="0"/>
      <c r="PH58" s="0"/>
      <c r="PI58" s="0"/>
      <c r="PJ58" s="0"/>
      <c r="PK58" s="0"/>
      <c r="PL58" s="0"/>
      <c r="PM58" s="0"/>
      <c r="PN58" s="0"/>
      <c r="PO58" s="0"/>
      <c r="PP58" s="0"/>
      <c r="PQ58" s="0"/>
      <c r="PR58" s="0"/>
      <c r="PS58" s="0"/>
      <c r="PT58" s="0"/>
      <c r="PU58" s="0"/>
      <c r="PV58" s="0"/>
      <c r="PW58" s="0"/>
      <c r="PX58" s="0"/>
      <c r="PY58" s="0"/>
      <c r="PZ58" s="0"/>
      <c r="QA58" s="0"/>
      <c r="QB58" s="0"/>
      <c r="QC58" s="0"/>
      <c r="QD58" s="0"/>
      <c r="QE58" s="0"/>
      <c r="QF58" s="0"/>
      <c r="QG58" s="0"/>
      <c r="QH58" s="0"/>
      <c r="QI58" s="0"/>
      <c r="QJ58" s="0"/>
      <c r="QK58" s="0"/>
      <c r="QL58" s="0"/>
      <c r="QM58" s="0"/>
      <c r="QN58" s="0"/>
      <c r="QO58" s="0"/>
      <c r="QP58" s="0"/>
      <c r="QQ58" s="0"/>
      <c r="QR58" s="0"/>
      <c r="QS58" s="0"/>
      <c r="QT58" s="0"/>
      <c r="QU58" s="0"/>
      <c r="QV58" s="0"/>
      <c r="QW58" s="0"/>
      <c r="QX58" s="0"/>
      <c r="QY58" s="0"/>
      <c r="QZ58" s="0"/>
      <c r="RA58" s="0"/>
      <c r="RB58" s="0"/>
      <c r="RC58" s="0"/>
      <c r="RD58" s="0"/>
      <c r="RE58" s="0"/>
      <c r="RF58" s="0"/>
      <c r="RG58" s="0"/>
      <c r="RH58" s="0"/>
      <c r="RI58" s="0"/>
      <c r="RJ58" s="0"/>
      <c r="RK58" s="0"/>
      <c r="RL58" s="0"/>
      <c r="RM58" s="0"/>
      <c r="RN58" s="0"/>
      <c r="RO58" s="0"/>
      <c r="RP58" s="0"/>
      <c r="RQ58" s="0"/>
      <c r="RR58" s="0"/>
      <c r="RS58" s="0"/>
      <c r="RT58" s="0"/>
      <c r="RU58" s="0"/>
      <c r="RV58" s="0"/>
      <c r="RW58" s="0"/>
      <c r="RX58" s="0"/>
      <c r="RY58" s="0"/>
      <c r="RZ58" s="0"/>
      <c r="SA58" s="0"/>
      <c r="SB58" s="0"/>
      <c r="SC58" s="0"/>
      <c r="SD58" s="0"/>
      <c r="SE58" s="0"/>
      <c r="SF58" s="0"/>
      <c r="SG58" s="0"/>
      <c r="SH58" s="0"/>
      <c r="SI58" s="0"/>
      <c r="SJ58" s="0"/>
      <c r="SK58" s="0"/>
      <c r="SL58" s="0"/>
      <c r="SM58" s="0"/>
      <c r="SN58" s="0"/>
      <c r="SO58" s="0"/>
      <c r="SP58" s="0"/>
      <c r="SQ58" s="0"/>
      <c r="SR58" s="0"/>
      <c r="SS58" s="0"/>
      <c r="ST58" s="0"/>
      <c r="SU58" s="0"/>
      <c r="SV58" s="0"/>
      <c r="SW58" s="0"/>
      <c r="SX58" s="0"/>
      <c r="SY58" s="0"/>
      <c r="SZ58" s="0"/>
      <c r="TA58" s="0"/>
      <c r="TB58" s="0"/>
      <c r="TC58" s="0"/>
      <c r="TD58" s="0"/>
      <c r="TE58" s="0"/>
      <c r="TF58" s="0"/>
      <c r="TG58" s="0"/>
      <c r="TH58" s="0"/>
      <c r="TI58" s="0"/>
      <c r="TJ58" s="0"/>
      <c r="TK58" s="0"/>
      <c r="TL58" s="0"/>
      <c r="TM58" s="0"/>
      <c r="TN58" s="0"/>
      <c r="TO58" s="0"/>
      <c r="TP58" s="0"/>
      <c r="TQ58" s="0"/>
      <c r="TR58" s="0"/>
      <c r="TS58" s="0"/>
      <c r="TT58" s="0"/>
      <c r="TU58" s="0"/>
      <c r="TV58" s="0"/>
      <c r="TW58" s="0"/>
      <c r="TX58" s="0"/>
      <c r="TY58" s="0"/>
      <c r="TZ58" s="0"/>
      <c r="UA58" s="0"/>
      <c r="UB58" s="0"/>
      <c r="UC58" s="0"/>
      <c r="UD58" s="0"/>
      <c r="UE58" s="0"/>
      <c r="UF58" s="0"/>
      <c r="UG58" s="0"/>
      <c r="UH58" s="0"/>
      <c r="UI58" s="0"/>
      <c r="UJ58" s="0"/>
      <c r="UK58" s="0"/>
      <c r="UL58" s="0"/>
      <c r="UM58" s="0"/>
      <c r="UN58" s="0"/>
      <c r="UO58" s="0"/>
      <c r="UP58" s="0"/>
      <c r="UQ58" s="0"/>
      <c r="UR58" s="0"/>
      <c r="US58" s="0"/>
      <c r="UT58" s="0"/>
      <c r="UU58" s="0"/>
      <c r="UV58" s="0"/>
      <c r="UW58" s="0"/>
      <c r="UX58" s="0"/>
      <c r="UY58" s="0"/>
      <c r="UZ58" s="0"/>
      <c r="VA58" s="0"/>
      <c r="VB58" s="0"/>
      <c r="VC58" s="0"/>
      <c r="VD58" s="0"/>
      <c r="VE58" s="0"/>
      <c r="VF58" s="0"/>
      <c r="VG58" s="0"/>
      <c r="VH58" s="0"/>
      <c r="VI58" s="0"/>
      <c r="VJ58" s="0"/>
      <c r="VK58" s="0"/>
      <c r="VL58" s="0"/>
      <c r="VM58" s="0"/>
      <c r="VN58" s="0"/>
      <c r="VO58" s="0"/>
      <c r="VP58" s="0"/>
      <c r="VQ58" s="0"/>
      <c r="VR58" s="0"/>
      <c r="VS58" s="0"/>
      <c r="VT58" s="0"/>
      <c r="VU58" s="0"/>
      <c r="VV58" s="0"/>
      <c r="VW58" s="0"/>
      <c r="VX58" s="0"/>
      <c r="VY58" s="0"/>
      <c r="VZ58" s="0"/>
      <c r="WA58" s="0"/>
      <c r="WB58" s="0"/>
      <c r="WC58" s="0"/>
      <c r="WD58" s="0"/>
      <c r="WE58" s="0"/>
      <c r="WF58" s="0"/>
      <c r="WG58" s="0"/>
      <c r="WH58" s="0"/>
      <c r="WI58" s="0"/>
      <c r="WJ58" s="0"/>
      <c r="WK58" s="0"/>
      <c r="WL58" s="0"/>
      <c r="WM58" s="0"/>
      <c r="WN58" s="0"/>
      <c r="WO58" s="0"/>
      <c r="WP58" s="0"/>
      <c r="WQ58" s="0"/>
      <c r="WR58" s="0"/>
      <c r="WS58" s="0"/>
      <c r="WT58" s="0"/>
      <c r="WU58" s="0"/>
      <c r="WV58" s="0"/>
      <c r="WW58" s="0"/>
      <c r="WX58" s="0"/>
      <c r="WY58" s="0"/>
      <c r="WZ58" s="0"/>
      <c r="XA58" s="0"/>
      <c r="XB58" s="0"/>
      <c r="XC58" s="0"/>
      <c r="XD58" s="0"/>
      <c r="XE58" s="0"/>
      <c r="XF58" s="0"/>
      <c r="XG58" s="0"/>
      <c r="XH58" s="0"/>
      <c r="XI58" s="0"/>
      <c r="XJ58" s="0"/>
      <c r="XK58" s="0"/>
      <c r="XL58" s="0"/>
      <c r="XM58" s="0"/>
      <c r="XN58" s="0"/>
      <c r="XO58" s="0"/>
      <c r="XP58" s="0"/>
      <c r="XQ58" s="0"/>
      <c r="XR58" s="0"/>
      <c r="XS58" s="0"/>
      <c r="XT58" s="0"/>
      <c r="XU58" s="0"/>
      <c r="XV58" s="0"/>
      <c r="XW58" s="0"/>
      <c r="XX58" s="0"/>
      <c r="XY58" s="0"/>
      <c r="XZ58" s="0"/>
      <c r="YA58" s="0"/>
      <c r="YB58" s="0"/>
      <c r="YC58" s="0"/>
      <c r="YD58" s="0"/>
      <c r="YE58" s="0"/>
      <c r="YF58" s="0"/>
      <c r="YG58" s="0"/>
      <c r="YH58" s="0"/>
      <c r="YI58" s="0"/>
      <c r="YJ58" s="0"/>
      <c r="YK58" s="0"/>
      <c r="YL58" s="0"/>
      <c r="YM58" s="0"/>
      <c r="YN58" s="0"/>
      <c r="YO58" s="0"/>
      <c r="YP58" s="0"/>
      <c r="YQ58" s="0"/>
      <c r="YR58" s="0"/>
      <c r="YS58" s="0"/>
      <c r="YT58" s="0"/>
      <c r="YU58" s="0"/>
      <c r="YV58" s="0"/>
      <c r="YW58" s="0"/>
      <c r="YX58" s="0"/>
      <c r="YY58" s="0"/>
      <c r="YZ58" s="0"/>
      <c r="ZA58" s="0"/>
      <c r="ZB58" s="0"/>
      <c r="ZC58" s="0"/>
      <c r="ZD58" s="0"/>
      <c r="ZE58" s="0"/>
      <c r="ZF58" s="0"/>
      <c r="ZG58" s="0"/>
      <c r="ZH58" s="0"/>
      <c r="ZI58" s="0"/>
      <c r="ZJ58" s="0"/>
      <c r="ZK58" s="0"/>
      <c r="ZL58" s="0"/>
      <c r="ZM58" s="0"/>
      <c r="ZN58" s="0"/>
      <c r="ZO58" s="0"/>
      <c r="ZP58" s="0"/>
      <c r="ZQ58" s="0"/>
      <c r="ZR58" s="0"/>
      <c r="ZS58" s="0"/>
      <c r="ZT58" s="0"/>
      <c r="ZU58" s="0"/>
      <c r="ZV58" s="0"/>
      <c r="ZW58" s="0"/>
      <c r="ZX58" s="0"/>
      <c r="ZY58" s="0"/>
      <c r="ZZ58" s="0"/>
      <c r="AAA58" s="0"/>
      <c r="AAB58" s="0"/>
      <c r="AAC58" s="0"/>
      <c r="AAD58" s="0"/>
      <c r="AAE58" s="0"/>
      <c r="AAF58" s="0"/>
      <c r="AAG58" s="0"/>
      <c r="AAH58" s="0"/>
      <c r="AAI58" s="0"/>
      <c r="AAJ58" s="0"/>
      <c r="AAK58" s="0"/>
      <c r="AAL58" s="0"/>
      <c r="AAM58" s="0"/>
      <c r="AAN58" s="0"/>
      <c r="AAO58" s="0"/>
      <c r="AAP58" s="0"/>
      <c r="AAQ58" s="0"/>
      <c r="AAR58" s="0"/>
      <c r="AAS58" s="0"/>
      <c r="AAT58" s="0"/>
      <c r="AAU58" s="0"/>
      <c r="AAV58" s="0"/>
      <c r="AAW58" s="0"/>
      <c r="AAX58" s="0"/>
      <c r="AAY58" s="0"/>
      <c r="AAZ58" s="0"/>
      <c r="ABA58" s="0"/>
      <c r="ABB58" s="0"/>
      <c r="ABC58" s="0"/>
      <c r="ABD58" s="0"/>
      <c r="ABE58" s="0"/>
      <c r="ABF58" s="0"/>
      <c r="ABG58" s="0"/>
      <c r="ABH58" s="0"/>
      <c r="ABI58" s="0"/>
      <c r="ABJ58" s="0"/>
      <c r="ABK58" s="0"/>
      <c r="ABL58" s="0"/>
      <c r="ABM58" s="0"/>
      <c r="ABN58" s="0"/>
      <c r="ABO58" s="0"/>
      <c r="ABP58" s="0"/>
      <c r="ABQ58" s="0"/>
      <c r="ABR58" s="0"/>
      <c r="ABS58" s="0"/>
      <c r="ABT58" s="0"/>
      <c r="ABU58" s="0"/>
      <c r="ABV58" s="0"/>
      <c r="ABW58" s="0"/>
      <c r="ABX58" s="0"/>
      <c r="ABY58" s="0"/>
      <c r="ABZ58" s="0"/>
      <c r="ACA58" s="0"/>
      <c r="ACB58" s="0"/>
      <c r="ACC58" s="0"/>
      <c r="ACD58" s="0"/>
      <c r="ACE58" s="0"/>
      <c r="ACF58" s="0"/>
      <c r="ACG58" s="0"/>
      <c r="ACH58" s="0"/>
      <c r="ACI58" s="0"/>
      <c r="ACJ58" s="0"/>
      <c r="ACK58" s="0"/>
      <c r="ACL58" s="0"/>
      <c r="ACM58" s="0"/>
      <c r="ACN58" s="0"/>
      <c r="ACO58" s="0"/>
      <c r="ACP58" s="0"/>
      <c r="ACQ58" s="0"/>
      <c r="ACR58" s="0"/>
      <c r="ACS58" s="0"/>
      <c r="ACT58" s="0"/>
      <c r="ACU58" s="0"/>
      <c r="ACV58" s="0"/>
      <c r="ACW58" s="0"/>
      <c r="ACX58" s="0"/>
      <c r="ACY58" s="0"/>
      <c r="ACZ58" s="0"/>
      <c r="ADA58" s="0"/>
      <c r="ADB58" s="0"/>
      <c r="ADC58" s="0"/>
      <c r="ADD58" s="0"/>
      <c r="ADE58" s="0"/>
      <c r="ADF58" s="0"/>
      <c r="ADG58" s="0"/>
      <c r="ADH58" s="0"/>
      <c r="ADI58" s="0"/>
      <c r="ADJ58" s="0"/>
      <c r="ADK58" s="0"/>
      <c r="ADL58" s="0"/>
      <c r="ADM58" s="0"/>
      <c r="ADN58" s="0"/>
      <c r="ADO58" s="0"/>
      <c r="ADP58" s="0"/>
      <c r="ADQ58" s="0"/>
      <c r="ADR58" s="0"/>
      <c r="ADS58" s="0"/>
      <c r="ADT58" s="0"/>
      <c r="ADU58" s="0"/>
      <c r="ADV58" s="0"/>
      <c r="ADW58" s="0"/>
      <c r="ADX58" s="0"/>
      <c r="ADY58" s="0"/>
      <c r="ADZ58" s="0"/>
      <c r="AEA58" s="0"/>
      <c r="AEB58" s="0"/>
      <c r="AEC58" s="0"/>
      <c r="AED58" s="0"/>
      <c r="AEE58" s="0"/>
      <c r="AEF58" s="0"/>
      <c r="AEG58" s="0"/>
      <c r="AEH58" s="0"/>
      <c r="AEI58" s="0"/>
      <c r="AEJ58" s="0"/>
      <c r="AEK58" s="0"/>
      <c r="AEL58" s="0"/>
      <c r="AEM58" s="0"/>
      <c r="AEN58" s="0"/>
      <c r="AEO58" s="0"/>
      <c r="AEP58" s="0"/>
      <c r="AEQ58" s="0"/>
      <c r="AER58" s="0"/>
      <c r="AES58" s="0"/>
      <c r="AET58" s="0"/>
      <c r="AEU58" s="0"/>
      <c r="AEV58" s="0"/>
      <c r="AEW58" s="0"/>
      <c r="AEX58" s="0"/>
      <c r="AEY58" s="0"/>
      <c r="AEZ58" s="0"/>
      <c r="AFA58" s="0"/>
      <c r="AFB58" s="0"/>
      <c r="AFC58" s="0"/>
      <c r="AFD58" s="0"/>
      <c r="AFE58" s="0"/>
      <c r="AFF58" s="0"/>
      <c r="AFG58" s="0"/>
      <c r="AFH58" s="0"/>
      <c r="AFI58" s="0"/>
      <c r="AFJ58" s="0"/>
      <c r="AFK58" s="0"/>
      <c r="AFL58" s="0"/>
      <c r="AFM58" s="0"/>
      <c r="AFN58" s="0"/>
      <c r="AFO58" s="0"/>
      <c r="AFP58" s="0"/>
      <c r="AFQ58" s="0"/>
      <c r="AFR58" s="0"/>
      <c r="AFS58" s="0"/>
      <c r="AFT58" s="0"/>
      <c r="AFU58" s="0"/>
      <c r="AFV58" s="0"/>
      <c r="AFW58" s="0"/>
      <c r="AFX58" s="0"/>
      <c r="AFY58" s="0"/>
      <c r="AFZ58" s="0"/>
      <c r="AGA58" s="0"/>
      <c r="AGB58" s="0"/>
      <c r="AGC58" s="0"/>
      <c r="AGD58" s="0"/>
      <c r="AGE58" s="0"/>
      <c r="AGF58" s="0"/>
      <c r="AGG58" s="0"/>
      <c r="AGH58" s="0"/>
      <c r="AGI58" s="0"/>
      <c r="AGJ58" s="0"/>
      <c r="AGK58" s="0"/>
      <c r="AGL58" s="0"/>
      <c r="AGM58" s="0"/>
      <c r="AGN58" s="0"/>
      <c r="AGO58" s="0"/>
      <c r="AGP58" s="0"/>
      <c r="AGQ58" s="0"/>
      <c r="AGR58" s="0"/>
      <c r="AGS58" s="0"/>
      <c r="AGT58" s="0"/>
      <c r="AGU58" s="0"/>
      <c r="AGV58" s="0"/>
      <c r="AGW58" s="0"/>
      <c r="AGX58" s="0"/>
      <c r="AGY58" s="0"/>
      <c r="AGZ58" s="0"/>
      <c r="AHA58" s="0"/>
      <c r="AHB58" s="0"/>
      <c r="AHC58" s="0"/>
      <c r="AHD58" s="0"/>
      <c r="AHE58" s="0"/>
      <c r="AHF58" s="0"/>
      <c r="AHG58" s="0"/>
      <c r="AHH58" s="0"/>
      <c r="AHI58" s="0"/>
      <c r="AHJ58" s="0"/>
      <c r="AHK58" s="0"/>
      <c r="AHL58" s="0"/>
      <c r="AHM58" s="0"/>
      <c r="AHN58" s="0"/>
      <c r="AHO58" s="0"/>
      <c r="AHP58" s="0"/>
      <c r="AHQ58" s="0"/>
      <c r="AHR58" s="0"/>
      <c r="AHS58" s="0"/>
      <c r="AHT58" s="0"/>
      <c r="AHU58" s="0"/>
      <c r="AHV58" s="0"/>
      <c r="AHW58" s="0"/>
      <c r="AHX58" s="0"/>
      <c r="AHY58" s="0"/>
      <c r="AHZ58" s="0"/>
      <c r="AIA58" s="0"/>
      <c r="AIB58" s="0"/>
      <c r="AIC58" s="0"/>
      <c r="AID58" s="0"/>
      <c r="AIE58" s="0"/>
      <c r="AIF58" s="0"/>
      <c r="AIG58" s="0"/>
      <c r="AIH58" s="0"/>
      <c r="AII58" s="0"/>
      <c r="AIJ58" s="0"/>
      <c r="AIK58" s="0"/>
      <c r="AIL58" s="0"/>
      <c r="AIM58" s="0"/>
      <c r="AIN58" s="0"/>
      <c r="AIO58" s="0"/>
      <c r="AIP58" s="0"/>
      <c r="AIQ58" s="0"/>
      <c r="AIR58" s="0"/>
      <c r="AIS58" s="0"/>
      <c r="AIT58" s="0"/>
      <c r="AIU58" s="0"/>
      <c r="AIV58" s="0"/>
      <c r="AIW58" s="0"/>
      <c r="AIX58" s="0"/>
      <c r="AIY58" s="0"/>
      <c r="AIZ58" s="0"/>
      <c r="AJA58" s="0"/>
      <c r="AJB58" s="0"/>
      <c r="AJC58" s="0"/>
      <c r="AJD58" s="0"/>
      <c r="AJE58" s="0"/>
      <c r="AJF58" s="0"/>
      <c r="AJG58" s="0"/>
      <c r="AJH58" s="0"/>
      <c r="AJI58" s="0"/>
      <c r="AJJ58" s="0"/>
      <c r="AJK58" s="0"/>
      <c r="AJL58" s="0"/>
      <c r="AJM58" s="0"/>
      <c r="AJN58" s="0"/>
      <c r="AJO58" s="0"/>
      <c r="AJP58" s="0"/>
      <c r="AJQ58" s="0"/>
      <c r="AJR58" s="0"/>
      <c r="AJS58" s="0"/>
      <c r="AJT58" s="0"/>
      <c r="AJU58" s="0"/>
      <c r="AJV58" s="0"/>
      <c r="AJW58" s="0"/>
      <c r="AJX58" s="0"/>
      <c r="AJY58" s="0"/>
      <c r="AJZ58" s="0"/>
      <c r="AKA58" s="0"/>
      <c r="AKB58" s="0"/>
      <c r="AKC58" s="0"/>
      <c r="AKD58" s="0"/>
      <c r="AKE58" s="0"/>
      <c r="AKF58" s="0"/>
      <c r="AKG58" s="0"/>
      <c r="AKH58" s="0"/>
      <c r="AKI58" s="0"/>
      <c r="AKJ58" s="0"/>
      <c r="AKK58" s="0"/>
      <c r="AKL58" s="0"/>
      <c r="AKM58" s="0"/>
      <c r="AKN58" s="0"/>
      <c r="AKO58" s="0"/>
      <c r="AKP58" s="0"/>
      <c r="AKQ58" s="0"/>
      <c r="AKR58" s="0"/>
      <c r="AKS58" s="0"/>
      <c r="AKT58" s="0"/>
      <c r="AKU58" s="0"/>
      <c r="AKV58" s="0"/>
      <c r="AKW58" s="0"/>
      <c r="AKX58" s="0"/>
      <c r="AKY58" s="0"/>
      <c r="AKZ58" s="0"/>
      <c r="ALA58" s="0"/>
      <c r="ALB58" s="0"/>
      <c r="ALC58" s="0"/>
      <c r="ALD58" s="0"/>
      <c r="ALE58" s="0"/>
      <c r="ALF58" s="0"/>
      <c r="ALG58" s="0"/>
      <c r="ALH58" s="0"/>
      <c r="ALI58" s="0"/>
      <c r="ALJ58" s="0"/>
      <c r="ALK58" s="0"/>
    </row>
    <row r="59" customFormat="false" ht="12.8" hidden="false" customHeight="false" outlineLevel="0" collapsed="false">
      <c r="B59" s="24"/>
      <c r="C59" s="50"/>
      <c r="D59" s="50"/>
      <c r="E59" s="64" t="n">
        <v>4</v>
      </c>
      <c r="F59" s="299" t="s">
        <v>111</v>
      </c>
      <c r="G59" s="300" t="n">
        <v>70.726</v>
      </c>
      <c r="H59" s="301" t="n">
        <v>70.9864</v>
      </c>
      <c r="I59" s="302" t="n">
        <f aca="false">H59-G59</f>
        <v>0.260400000000004</v>
      </c>
      <c r="J59" s="300" t="n">
        <v>57.2818</v>
      </c>
      <c r="K59" s="301" t="n">
        <v>60.8897</v>
      </c>
      <c r="L59" s="302" t="n">
        <f aca="false">K59-J59</f>
        <v>3.6079</v>
      </c>
      <c r="M59" s="301" t="n">
        <v>26.8986</v>
      </c>
      <c r="N59" s="301" t="n">
        <v>27.167</v>
      </c>
      <c r="O59" s="302" t="n">
        <f aca="false">N59-M59</f>
        <v>0.268400000000003</v>
      </c>
      <c r="P59" s="303" t="n">
        <f aca="false">100*I59/(I59+L59+O59)</f>
        <v>6.29487272463567</v>
      </c>
      <c r="Q59" s="265" t="n">
        <v>0.5392</v>
      </c>
      <c r="R59" s="165"/>
      <c r="S59" s="264"/>
      <c r="T59" s="264"/>
      <c r="U59" s="264"/>
      <c r="V59" s="303" t="n">
        <f aca="false">100*L59/(I59+L59+O59)</f>
        <v>87.2168636836124</v>
      </c>
      <c r="W59" s="265" t="n">
        <v>0.812</v>
      </c>
      <c r="X59" s="165"/>
      <c r="Y59" s="264"/>
      <c r="Z59" s="264"/>
      <c r="AA59" s="243"/>
      <c r="AB59" s="303" t="n">
        <f aca="false">100*O59/(I59+L59+O59)</f>
        <v>6.48826359175195</v>
      </c>
      <c r="AC59" s="265" t="n">
        <v>0.1517</v>
      </c>
      <c r="AD59" s="165"/>
      <c r="AE59" s="264"/>
      <c r="AF59" s="264"/>
      <c r="AG59" s="264"/>
      <c r="AH59" s="33"/>
      <c r="DK59" s="0"/>
      <c r="DL59" s="0"/>
      <c r="DM59" s="0"/>
      <c r="DN59" s="0"/>
      <c r="DO59" s="0"/>
      <c r="DP59" s="0"/>
      <c r="DQ59" s="0"/>
      <c r="DR59" s="0"/>
      <c r="DS59" s="0"/>
      <c r="DT59" s="0"/>
      <c r="DU59" s="0"/>
      <c r="DV59" s="0"/>
      <c r="DW59" s="0"/>
      <c r="DX59" s="0"/>
      <c r="DY59" s="0"/>
      <c r="DZ59" s="0"/>
      <c r="EA59" s="0"/>
      <c r="EB59" s="0"/>
      <c r="EC59" s="0"/>
      <c r="ED59" s="0"/>
      <c r="EE59" s="0"/>
      <c r="EF59" s="0"/>
      <c r="EG59" s="0"/>
      <c r="EH59" s="0"/>
      <c r="EI59" s="0"/>
      <c r="EJ59" s="0"/>
      <c r="EK59" s="0"/>
      <c r="EL59" s="0"/>
      <c r="EM59" s="0"/>
      <c r="EN59" s="0"/>
      <c r="EO59" s="0"/>
      <c r="EP59" s="0"/>
      <c r="EQ59" s="0"/>
      <c r="ER59" s="0"/>
      <c r="ES59" s="0"/>
      <c r="ET59" s="0"/>
      <c r="EU59" s="0"/>
      <c r="EV59" s="0"/>
      <c r="EW59" s="0"/>
      <c r="EX59" s="0"/>
      <c r="EY59" s="0"/>
      <c r="EZ59" s="0"/>
      <c r="FA59" s="0"/>
      <c r="FB59" s="0"/>
      <c r="FC59" s="0"/>
      <c r="FD59" s="0"/>
      <c r="FE59" s="0"/>
      <c r="FF59" s="0"/>
      <c r="FG59" s="0"/>
      <c r="FH59" s="0"/>
      <c r="FI59" s="0"/>
      <c r="FJ59" s="0"/>
      <c r="FK59" s="0"/>
      <c r="FL59" s="0"/>
      <c r="FM59" s="0"/>
      <c r="FN59" s="0"/>
      <c r="FO59" s="0"/>
      <c r="FP59" s="0"/>
      <c r="FQ59" s="0"/>
      <c r="FR59" s="0"/>
      <c r="FS59" s="0"/>
      <c r="FT59" s="0"/>
      <c r="FU59" s="0"/>
      <c r="FV59" s="0"/>
      <c r="FW59" s="0"/>
      <c r="FX59" s="0"/>
      <c r="FY59" s="0"/>
      <c r="FZ59" s="0"/>
      <c r="GA59" s="0"/>
      <c r="GB59" s="0"/>
      <c r="GC59" s="0"/>
      <c r="GD59" s="0"/>
      <c r="GE59" s="0"/>
      <c r="GF59" s="0"/>
      <c r="GG59" s="0"/>
      <c r="GH59" s="0"/>
      <c r="GI59" s="0"/>
      <c r="GJ59" s="0"/>
      <c r="GK59" s="0"/>
      <c r="GL59" s="0"/>
      <c r="GM59" s="0"/>
      <c r="GN59" s="0"/>
      <c r="GO59" s="0"/>
      <c r="GP59" s="0"/>
      <c r="GQ59" s="0"/>
      <c r="GR59" s="0"/>
      <c r="GS59" s="0"/>
      <c r="GT59" s="0"/>
      <c r="GU59" s="0"/>
      <c r="GV59" s="0"/>
      <c r="GW59" s="0"/>
      <c r="GX59" s="0"/>
      <c r="GY59" s="0"/>
      <c r="GZ59" s="0"/>
      <c r="HA59" s="0"/>
      <c r="HB59" s="0"/>
      <c r="HC59" s="0"/>
      <c r="HD59" s="0"/>
      <c r="HE59" s="0"/>
      <c r="HF59" s="0"/>
      <c r="HG59" s="0"/>
      <c r="HH59" s="0"/>
      <c r="HI59" s="0"/>
      <c r="HJ59" s="0"/>
      <c r="HK59" s="0"/>
      <c r="HL59" s="0"/>
      <c r="HM59" s="0"/>
      <c r="HN59" s="0"/>
      <c r="HO59" s="0"/>
      <c r="HP59" s="0"/>
      <c r="HQ59" s="0"/>
      <c r="HR59" s="0"/>
      <c r="HS59" s="0"/>
      <c r="HT59" s="0"/>
      <c r="HU59" s="0"/>
      <c r="HV59" s="0"/>
      <c r="HW59" s="0"/>
      <c r="HX59" s="0"/>
      <c r="HY59" s="0"/>
      <c r="HZ59" s="0"/>
      <c r="IA59" s="0"/>
      <c r="IB59" s="0"/>
      <c r="IC59" s="0"/>
      <c r="ID59" s="0"/>
      <c r="IE59" s="0"/>
      <c r="IF59" s="0"/>
      <c r="IG59" s="0"/>
      <c r="IH59" s="0"/>
      <c r="II59" s="0"/>
      <c r="IJ59" s="0"/>
      <c r="IK59" s="0"/>
      <c r="IL59" s="0"/>
      <c r="IM59" s="0"/>
      <c r="IN59" s="0"/>
      <c r="IO59" s="0"/>
      <c r="IP59" s="0"/>
      <c r="IQ59" s="0"/>
      <c r="IR59" s="0"/>
      <c r="IS59" s="0"/>
      <c r="IT59" s="0"/>
      <c r="IU59" s="0"/>
      <c r="IV59" s="0"/>
      <c r="IW59" s="0"/>
      <c r="IX59" s="0"/>
      <c r="IY59" s="0"/>
      <c r="IZ59" s="0"/>
      <c r="JA59" s="0"/>
      <c r="JB59" s="0"/>
      <c r="JC59" s="0"/>
      <c r="JD59" s="0"/>
      <c r="JE59" s="0"/>
      <c r="JF59" s="0"/>
      <c r="JG59" s="0"/>
      <c r="JH59" s="0"/>
      <c r="JI59" s="0"/>
      <c r="JJ59" s="0"/>
      <c r="JK59" s="0"/>
      <c r="JL59" s="0"/>
      <c r="JM59" s="0"/>
      <c r="JN59" s="0"/>
      <c r="JO59" s="0"/>
      <c r="JP59" s="0"/>
      <c r="JQ59" s="0"/>
      <c r="JR59" s="0"/>
      <c r="JS59" s="0"/>
      <c r="JT59" s="0"/>
      <c r="JU59" s="0"/>
      <c r="JV59" s="0"/>
      <c r="JW59" s="0"/>
      <c r="JX59" s="0"/>
      <c r="JY59" s="0"/>
      <c r="JZ59" s="0"/>
      <c r="KA59" s="0"/>
      <c r="KB59" s="0"/>
      <c r="KC59" s="0"/>
      <c r="KD59" s="0"/>
      <c r="KE59" s="0"/>
      <c r="KF59" s="0"/>
      <c r="KG59" s="0"/>
      <c r="KH59" s="0"/>
      <c r="KI59" s="0"/>
      <c r="KJ59" s="0"/>
      <c r="KK59" s="0"/>
      <c r="KL59" s="0"/>
      <c r="KM59" s="0"/>
      <c r="KN59" s="0"/>
      <c r="KO59" s="0"/>
      <c r="KP59" s="0"/>
      <c r="KQ59" s="0"/>
      <c r="KR59" s="0"/>
      <c r="KS59" s="0"/>
      <c r="KT59" s="0"/>
      <c r="KU59" s="0"/>
      <c r="KV59" s="0"/>
      <c r="KW59" s="0"/>
      <c r="KX59" s="0"/>
      <c r="KY59" s="0"/>
      <c r="KZ59" s="0"/>
      <c r="LA59" s="0"/>
      <c r="LB59" s="0"/>
      <c r="LC59" s="0"/>
      <c r="LD59" s="0"/>
      <c r="LE59" s="0"/>
      <c r="LF59" s="0"/>
      <c r="LG59" s="0"/>
      <c r="LH59" s="0"/>
      <c r="LI59" s="0"/>
      <c r="LJ59" s="0"/>
      <c r="LK59" s="0"/>
      <c r="LL59" s="0"/>
      <c r="LM59" s="0"/>
      <c r="LN59" s="0"/>
      <c r="LO59" s="0"/>
      <c r="LP59" s="0"/>
      <c r="LQ59" s="0"/>
      <c r="LR59" s="0"/>
      <c r="LS59" s="0"/>
      <c r="LT59" s="0"/>
      <c r="LU59" s="0"/>
      <c r="LV59" s="0"/>
      <c r="LW59" s="0"/>
      <c r="LX59" s="0"/>
      <c r="LY59" s="0"/>
      <c r="LZ59" s="0"/>
      <c r="MA59" s="0"/>
      <c r="MB59" s="0"/>
      <c r="MC59" s="0"/>
      <c r="MD59" s="0"/>
      <c r="ME59" s="0"/>
      <c r="MF59" s="0"/>
      <c r="MG59" s="0"/>
      <c r="MH59" s="0"/>
      <c r="MI59" s="0"/>
      <c r="MJ59" s="0"/>
      <c r="MK59" s="0"/>
      <c r="ML59" s="0"/>
      <c r="MM59" s="0"/>
      <c r="MN59" s="0"/>
      <c r="MO59" s="0"/>
      <c r="MP59" s="0"/>
      <c r="MQ59" s="0"/>
      <c r="MR59" s="0"/>
      <c r="MS59" s="0"/>
      <c r="MT59" s="0"/>
      <c r="MU59" s="0"/>
      <c r="MV59" s="0"/>
      <c r="MW59" s="0"/>
      <c r="MX59" s="0"/>
      <c r="MY59" s="0"/>
      <c r="MZ59" s="0"/>
      <c r="NA59" s="0"/>
      <c r="NB59" s="0"/>
      <c r="NC59" s="0"/>
      <c r="ND59" s="0"/>
      <c r="NE59" s="0"/>
      <c r="NF59" s="0"/>
      <c r="NG59" s="0"/>
      <c r="NH59" s="0"/>
      <c r="NI59" s="0"/>
      <c r="NJ59" s="0"/>
      <c r="NK59" s="0"/>
      <c r="NL59" s="0"/>
      <c r="NM59" s="0"/>
      <c r="NN59" s="0"/>
      <c r="NO59" s="0"/>
      <c r="NP59" s="0"/>
      <c r="NQ59" s="0"/>
      <c r="NR59" s="0"/>
      <c r="NS59" s="0"/>
      <c r="NT59" s="0"/>
      <c r="NU59" s="0"/>
      <c r="NV59" s="0"/>
      <c r="NW59" s="0"/>
      <c r="NX59" s="0"/>
      <c r="NY59" s="0"/>
      <c r="NZ59" s="0"/>
      <c r="OA59" s="0"/>
      <c r="OB59" s="0"/>
      <c r="OC59" s="0"/>
      <c r="OD59" s="0"/>
      <c r="OE59" s="0"/>
      <c r="OF59" s="0"/>
      <c r="OG59" s="0"/>
      <c r="OH59" s="0"/>
      <c r="OI59" s="0"/>
      <c r="OJ59" s="0"/>
      <c r="OK59" s="0"/>
      <c r="OL59" s="0"/>
      <c r="OM59" s="0"/>
      <c r="ON59" s="0"/>
      <c r="OO59" s="0"/>
      <c r="OP59" s="0"/>
      <c r="OQ59" s="0"/>
      <c r="OR59" s="0"/>
      <c r="OS59" s="0"/>
      <c r="OT59" s="0"/>
      <c r="OU59" s="0"/>
      <c r="OV59" s="0"/>
      <c r="OW59" s="0"/>
      <c r="OX59" s="0"/>
      <c r="OY59" s="0"/>
      <c r="OZ59" s="0"/>
      <c r="PA59" s="0"/>
      <c r="PB59" s="0"/>
      <c r="PC59" s="0"/>
      <c r="PD59" s="0"/>
      <c r="PE59" s="0"/>
      <c r="PF59" s="0"/>
      <c r="PG59" s="0"/>
      <c r="PH59" s="0"/>
      <c r="PI59" s="0"/>
      <c r="PJ59" s="0"/>
      <c r="PK59" s="0"/>
      <c r="PL59" s="0"/>
      <c r="PM59" s="0"/>
      <c r="PN59" s="0"/>
      <c r="PO59" s="0"/>
      <c r="PP59" s="0"/>
      <c r="PQ59" s="0"/>
      <c r="PR59" s="0"/>
      <c r="PS59" s="0"/>
      <c r="PT59" s="0"/>
      <c r="PU59" s="0"/>
      <c r="PV59" s="0"/>
      <c r="PW59" s="0"/>
      <c r="PX59" s="0"/>
      <c r="PY59" s="0"/>
      <c r="PZ59" s="0"/>
      <c r="QA59" s="0"/>
      <c r="QB59" s="0"/>
      <c r="QC59" s="0"/>
      <c r="QD59" s="0"/>
      <c r="QE59" s="0"/>
      <c r="QF59" s="0"/>
      <c r="QG59" s="0"/>
      <c r="QH59" s="0"/>
      <c r="QI59" s="0"/>
      <c r="QJ59" s="0"/>
      <c r="QK59" s="0"/>
      <c r="QL59" s="0"/>
      <c r="QM59" s="0"/>
      <c r="QN59" s="0"/>
      <c r="QO59" s="0"/>
      <c r="QP59" s="0"/>
      <c r="QQ59" s="0"/>
      <c r="QR59" s="0"/>
      <c r="QS59" s="0"/>
      <c r="QT59" s="0"/>
      <c r="QU59" s="0"/>
      <c r="QV59" s="0"/>
      <c r="QW59" s="0"/>
      <c r="QX59" s="0"/>
      <c r="QY59" s="0"/>
      <c r="QZ59" s="0"/>
      <c r="RA59" s="0"/>
      <c r="RB59" s="0"/>
      <c r="RC59" s="0"/>
      <c r="RD59" s="0"/>
      <c r="RE59" s="0"/>
      <c r="RF59" s="0"/>
      <c r="RG59" s="0"/>
      <c r="RH59" s="0"/>
      <c r="RI59" s="0"/>
      <c r="RJ59" s="0"/>
      <c r="RK59" s="0"/>
      <c r="RL59" s="0"/>
      <c r="RM59" s="0"/>
      <c r="RN59" s="0"/>
      <c r="RO59" s="0"/>
      <c r="RP59" s="0"/>
      <c r="RQ59" s="0"/>
      <c r="RR59" s="0"/>
      <c r="RS59" s="0"/>
      <c r="RT59" s="0"/>
      <c r="RU59" s="0"/>
      <c r="RV59" s="0"/>
      <c r="RW59" s="0"/>
      <c r="RX59" s="0"/>
      <c r="RY59" s="0"/>
      <c r="RZ59" s="0"/>
      <c r="SA59" s="0"/>
      <c r="SB59" s="0"/>
      <c r="SC59" s="0"/>
      <c r="SD59" s="0"/>
      <c r="SE59" s="0"/>
      <c r="SF59" s="0"/>
      <c r="SG59" s="0"/>
      <c r="SH59" s="0"/>
      <c r="SI59" s="0"/>
      <c r="SJ59" s="0"/>
      <c r="SK59" s="0"/>
      <c r="SL59" s="0"/>
      <c r="SM59" s="0"/>
      <c r="SN59" s="0"/>
      <c r="SO59" s="0"/>
      <c r="SP59" s="0"/>
      <c r="SQ59" s="0"/>
      <c r="SR59" s="0"/>
      <c r="SS59" s="0"/>
      <c r="ST59" s="0"/>
      <c r="SU59" s="0"/>
      <c r="SV59" s="0"/>
      <c r="SW59" s="0"/>
      <c r="SX59" s="0"/>
      <c r="SY59" s="0"/>
      <c r="SZ59" s="0"/>
      <c r="TA59" s="0"/>
      <c r="TB59" s="0"/>
      <c r="TC59" s="0"/>
      <c r="TD59" s="0"/>
      <c r="TE59" s="0"/>
      <c r="TF59" s="0"/>
      <c r="TG59" s="0"/>
      <c r="TH59" s="0"/>
      <c r="TI59" s="0"/>
      <c r="TJ59" s="0"/>
      <c r="TK59" s="0"/>
      <c r="TL59" s="0"/>
      <c r="TM59" s="0"/>
      <c r="TN59" s="0"/>
      <c r="TO59" s="0"/>
      <c r="TP59" s="0"/>
      <c r="TQ59" s="0"/>
      <c r="TR59" s="0"/>
      <c r="TS59" s="0"/>
      <c r="TT59" s="0"/>
      <c r="TU59" s="0"/>
      <c r="TV59" s="0"/>
      <c r="TW59" s="0"/>
      <c r="TX59" s="0"/>
      <c r="TY59" s="0"/>
      <c r="TZ59" s="0"/>
      <c r="UA59" s="0"/>
      <c r="UB59" s="0"/>
      <c r="UC59" s="0"/>
      <c r="UD59" s="0"/>
      <c r="UE59" s="0"/>
      <c r="UF59" s="0"/>
      <c r="UG59" s="0"/>
      <c r="UH59" s="0"/>
      <c r="UI59" s="0"/>
      <c r="UJ59" s="0"/>
      <c r="UK59" s="0"/>
      <c r="UL59" s="0"/>
      <c r="UM59" s="0"/>
      <c r="UN59" s="0"/>
      <c r="UO59" s="0"/>
      <c r="UP59" s="0"/>
      <c r="UQ59" s="0"/>
      <c r="UR59" s="0"/>
      <c r="US59" s="0"/>
      <c r="UT59" s="0"/>
      <c r="UU59" s="0"/>
      <c r="UV59" s="0"/>
      <c r="UW59" s="0"/>
      <c r="UX59" s="0"/>
      <c r="UY59" s="0"/>
      <c r="UZ59" s="0"/>
      <c r="VA59" s="0"/>
      <c r="VB59" s="0"/>
      <c r="VC59" s="0"/>
      <c r="VD59" s="0"/>
      <c r="VE59" s="0"/>
      <c r="VF59" s="0"/>
      <c r="VG59" s="0"/>
      <c r="VH59" s="0"/>
      <c r="VI59" s="0"/>
      <c r="VJ59" s="0"/>
      <c r="VK59" s="0"/>
      <c r="VL59" s="0"/>
      <c r="VM59" s="0"/>
      <c r="VN59" s="0"/>
      <c r="VO59" s="0"/>
      <c r="VP59" s="0"/>
      <c r="VQ59" s="0"/>
      <c r="VR59" s="0"/>
      <c r="VS59" s="0"/>
      <c r="VT59" s="0"/>
      <c r="VU59" s="0"/>
      <c r="VV59" s="0"/>
      <c r="VW59" s="0"/>
      <c r="VX59" s="0"/>
      <c r="VY59" s="0"/>
      <c r="VZ59" s="0"/>
      <c r="WA59" s="0"/>
      <c r="WB59" s="0"/>
      <c r="WC59" s="0"/>
      <c r="WD59" s="0"/>
      <c r="WE59" s="0"/>
      <c r="WF59" s="0"/>
      <c r="WG59" s="0"/>
      <c r="WH59" s="0"/>
      <c r="WI59" s="0"/>
      <c r="WJ59" s="0"/>
      <c r="WK59" s="0"/>
      <c r="WL59" s="0"/>
      <c r="WM59" s="0"/>
      <c r="WN59" s="0"/>
      <c r="WO59" s="0"/>
      <c r="WP59" s="0"/>
      <c r="WQ59" s="0"/>
      <c r="WR59" s="0"/>
      <c r="WS59" s="0"/>
      <c r="WT59" s="0"/>
      <c r="WU59" s="0"/>
      <c r="WV59" s="0"/>
      <c r="WW59" s="0"/>
      <c r="WX59" s="0"/>
      <c r="WY59" s="0"/>
      <c r="WZ59" s="0"/>
      <c r="XA59" s="0"/>
      <c r="XB59" s="0"/>
      <c r="XC59" s="0"/>
      <c r="XD59" s="0"/>
      <c r="XE59" s="0"/>
      <c r="XF59" s="0"/>
      <c r="XG59" s="0"/>
      <c r="XH59" s="0"/>
      <c r="XI59" s="0"/>
      <c r="XJ59" s="0"/>
      <c r="XK59" s="0"/>
      <c r="XL59" s="0"/>
      <c r="XM59" s="0"/>
      <c r="XN59" s="0"/>
      <c r="XO59" s="0"/>
      <c r="XP59" s="0"/>
      <c r="XQ59" s="0"/>
      <c r="XR59" s="0"/>
      <c r="XS59" s="0"/>
      <c r="XT59" s="0"/>
      <c r="XU59" s="0"/>
      <c r="XV59" s="0"/>
      <c r="XW59" s="0"/>
      <c r="XX59" s="0"/>
      <c r="XY59" s="0"/>
      <c r="XZ59" s="0"/>
      <c r="YA59" s="0"/>
      <c r="YB59" s="0"/>
      <c r="YC59" s="0"/>
      <c r="YD59" s="0"/>
      <c r="YE59" s="0"/>
      <c r="YF59" s="0"/>
      <c r="YG59" s="0"/>
      <c r="YH59" s="0"/>
      <c r="YI59" s="0"/>
      <c r="YJ59" s="0"/>
      <c r="YK59" s="0"/>
      <c r="YL59" s="0"/>
      <c r="YM59" s="0"/>
      <c r="YN59" s="0"/>
      <c r="YO59" s="0"/>
      <c r="YP59" s="0"/>
      <c r="YQ59" s="0"/>
      <c r="YR59" s="0"/>
      <c r="YS59" s="0"/>
      <c r="YT59" s="0"/>
      <c r="YU59" s="0"/>
      <c r="YV59" s="0"/>
      <c r="YW59" s="0"/>
      <c r="YX59" s="0"/>
      <c r="YY59" s="0"/>
      <c r="YZ59" s="0"/>
      <c r="ZA59" s="0"/>
      <c r="ZB59" s="0"/>
      <c r="ZC59" s="0"/>
      <c r="ZD59" s="0"/>
      <c r="ZE59" s="0"/>
      <c r="ZF59" s="0"/>
      <c r="ZG59" s="0"/>
      <c r="ZH59" s="0"/>
      <c r="ZI59" s="0"/>
      <c r="ZJ59" s="0"/>
      <c r="ZK59" s="0"/>
      <c r="ZL59" s="0"/>
      <c r="ZM59" s="0"/>
      <c r="ZN59" s="0"/>
      <c r="ZO59" s="0"/>
      <c r="ZP59" s="0"/>
      <c r="ZQ59" s="0"/>
      <c r="ZR59" s="0"/>
      <c r="ZS59" s="0"/>
      <c r="ZT59" s="0"/>
      <c r="ZU59" s="0"/>
      <c r="ZV59" s="0"/>
      <c r="ZW59" s="0"/>
      <c r="ZX59" s="0"/>
      <c r="ZY59" s="0"/>
      <c r="ZZ59" s="0"/>
      <c r="AAA59" s="0"/>
      <c r="AAB59" s="0"/>
      <c r="AAC59" s="0"/>
      <c r="AAD59" s="0"/>
      <c r="AAE59" s="0"/>
      <c r="AAF59" s="0"/>
      <c r="AAG59" s="0"/>
      <c r="AAH59" s="0"/>
      <c r="AAI59" s="0"/>
      <c r="AAJ59" s="0"/>
      <c r="AAK59" s="0"/>
      <c r="AAL59" s="0"/>
      <c r="AAM59" s="0"/>
      <c r="AAN59" s="0"/>
      <c r="AAO59" s="0"/>
      <c r="AAP59" s="0"/>
      <c r="AAQ59" s="0"/>
      <c r="AAR59" s="0"/>
      <c r="AAS59" s="0"/>
      <c r="AAT59" s="0"/>
      <c r="AAU59" s="0"/>
      <c r="AAV59" s="0"/>
      <c r="AAW59" s="0"/>
      <c r="AAX59" s="0"/>
      <c r="AAY59" s="0"/>
      <c r="AAZ59" s="0"/>
      <c r="ABA59" s="0"/>
      <c r="ABB59" s="0"/>
      <c r="ABC59" s="0"/>
      <c r="ABD59" s="0"/>
      <c r="ABE59" s="0"/>
      <c r="ABF59" s="0"/>
      <c r="ABG59" s="0"/>
      <c r="ABH59" s="0"/>
      <c r="ABI59" s="0"/>
      <c r="ABJ59" s="0"/>
      <c r="ABK59" s="0"/>
      <c r="ABL59" s="0"/>
      <c r="ABM59" s="0"/>
      <c r="ABN59" s="0"/>
      <c r="ABO59" s="0"/>
      <c r="ABP59" s="0"/>
      <c r="ABQ59" s="0"/>
      <c r="ABR59" s="0"/>
      <c r="ABS59" s="0"/>
      <c r="ABT59" s="0"/>
      <c r="ABU59" s="0"/>
      <c r="ABV59" s="0"/>
      <c r="ABW59" s="0"/>
      <c r="ABX59" s="0"/>
      <c r="ABY59" s="0"/>
      <c r="ABZ59" s="0"/>
      <c r="ACA59" s="0"/>
      <c r="ACB59" s="0"/>
      <c r="ACC59" s="0"/>
      <c r="ACD59" s="0"/>
      <c r="ACE59" s="0"/>
      <c r="ACF59" s="0"/>
      <c r="ACG59" s="0"/>
      <c r="ACH59" s="0"/>
      <c r="ACI59" s="0"/>
      <c r="ACJ59" s="0"/>
      <c r="ACK59" s="0"/>
      <c r="ACL59" s="0"/>
      <c r="ACM59" s="0"/>
      <c r="ACN59" s="0"/>
      <c r="ACO59" s="0"/>
      <c r="ACP59" s="0"/>
      <c r="ACQ59" s="0"/>
      <c r="ACR59" s="0"/>
      <c r="ACS59" s="0"/>
      <c r="ACT59" s="0"/>
      <c r="ACU59" s="0"/>
      <c r="ACV59" s="0"/>
      <c r="ACW59" s="0"/>
      <c r="ACX59" s="0"/>
      <c r="ACY59" s="0"/>
      <c r="ACZ59" s="0"/>
      <c r="ADA59" s="0"/>
      <c r="ADB59" s="0"/>
      <c r="ADC59" s="0"/>
      <c r="ADD59" s="0"/>
      <c r="ADE59" s="0"/>
      <c r="ADF59" s="0"/>
      <c r="ADG59" s="0"/>
      <c r="ADH59" s="0"/>
      <c r="ADI59" s="0"/>
      <c r="ADJ59" s="0"/>
      <c r="ADK59" s="0"/>
      <c r="ADL59" s="0"/>
      <c r="ADM59" s="0"/>
      <c r="ADN59" s="0"/>
      <c r="ADO59" s="0"/>
      <c r="ADP59" s="0"/>
      <c r="ADQ59" s="0"/>
      <c r="ADR59" s="0"/>
      <c r="ADS59" s="0"/>
      <c r="ADT59" s="0"/>
      <c r="ADU59" s="0"/>
      <c r="ADV59" s="0"/>
      <c r="ADW59" s="0"/>
      <c r="ADX59" s="0"/>
      <c r="ADY59" s="0"/>
      <c r="ADZ59" s="0"/>
      <c r="AEA59" s="0"/>
      <c r="AEB59" s="0"/>
      <c r="AEC59" s="0"/>
      <c r="AED59" s="0"/>
      <c r="AEE59" s="0"/>
      <c r="AEF59" s="0"/>
      <c r="AEG59" s="0"/>
      <c r="AEH59" s="0"/>
      <c r="AEI59" s="0"/>
      <c r="AEJ59" s="0"/>
      <c r="AEK59" s="0"/>
      <c r="AEL59" s="0"/>
      <c r="AEM59" s="0"/>
      <c r="AEN59" s="0"/>
      <c r="AEO59" s="0"/>
      <c r="AEP59" s="0"/>
      <c r="AEQ59" s="0"/>
      <c r="AER59" s="0"/>
      <c r="AES59" s="0"/>
      <c r="AET59" s="0"/>
      <c r="AEU59" s="0"/>
      <c r="AEV59" s="0"/>
      <c r="AEW59" s="0"/>
      <c r="AEX59" s="0"/>
      <c r="AEY59" s="0"/>
      <c r="AEZ59" s="0"/>
      <c r="AFA59" s="0"/>
      <c r="AFB59" s="0"/>
      <c r="AFC59" s="0"/>
      <c r="AFD59" s="0"/>
      <c r="AFE59" s="0"/>
      <c r="AFF59" s="0"/>
      <c r="AFG59" s="0"/>
      <c r="AFH59" s="0"/>
      <c r="AFI59" s="0"/>
      <c r="AFJ59" s="0"/>
      <c r="AFK59" s="0"/>
      <c r="AFL59" s="0"/>
      <c r="AFM59" s="0"/>
      <c r="AFN59" s="0"/>
      <c r="AFO59" s="0"/>
      <c r="AFP59" s="0"/>
      <c r="AFQ59" s="0"/>
      <c r="AFR59" s="0"/>
      <c r="AFS59" s="0"/>
      <c r="AFT59" s="0"/>
      <c r="AFU59" s="0"/>
      <c r="AFV59" s="0"/>
      <c r="AFW59" s="0"/>
      <c r="AFX59" s="0"/>
      <c r="AFY59" s="0"/>
      <c r="AFZ59" s="0"/>
      <c r="AGA59" s="0"/>
      <c r="AGB59" s="0"/>
      <c r="AGC59" s="0"/>
      <c r="AGD59" s="0"/>
      <c r="AGE59" s="0"/>
      <c r="AGF59" s="0"/>
      <c r="AGG59" s="0"/>
      <c r="AGH59" s="0"/>
      <c r="AGI59" s="0"/>
      <c r="AGJ59" s="0"/>
      <c r="AGK59" s="0"/>
      <c r="AGL59" s="0"/>
      <c r="AGM59" s="0"/>
      <c r="AGN59" s="0"/>
      <c r="AGO59" s="0"/>
      <c r="AGP59" s="0"/>
      <c r="AGQ59" s="0"/>
      <c r="AGR59" s="0"/>
      <c r="AGS59" s="0"/>
      <c r="AGT59" s="0"/>
      <c r="AGU59" s="0"/>
      <c r="AGV59" s="0"/>
      <c r="AGW59" s="0"/>
      <c r="AGX59" s="0"/>
      <c r="AGY59" s="0"/>
      <c r="AGZ59" s="0"/>
      <c r="AHA59" s="0"/>
      <c r="AHB59" s="0"/>
      <c r="AHC59" s="0"/>
      <c r="AHD59" s="0"/>
      <c r="AHE59" s="0"/>
      <c r="AHF59" s="0"/>
      <c r="AHG59" s="0"/>
      <c r="AHH59" s="0"/>
      <c r="AHI59" s="0"/>
      <c r="AHJ59" s="0"/>
      <c r="AHK59" s="0"/>
      <c r="AHL59" s="0"/>
      <c r="AHM59" s="0"/>
      <c r="AHN59" s="0"/>
      <c r="AHO59" s="0"/>
      <c r="AHP59" s="0"/>
      <c r="AHQ59" s="0"/>
      <c r="AHR59" s="0"/>
      <c r="AHS59" s="0"/>
      <c r="AHT59" s="0"/>
      <c r="AHU59" s="0"/>
      <c r="AHV59" s="0"/>
      <c r="AHW59" s="0"/>
      <c r="AHX59" s="0"/>
      <c r="AHY59" s="0"/>
      <c r="AHZ59" s="0"/>
      <c r="AIA59" s="0"/>
      <c r="AIB59" s="0"/>
      <c r="AIC59" s="0"/>
      <c r="AID59" s="0"/>
      <c r="AIE59" s="0"/>
      <c r="AIF59" s="0"/>
      <c r="AIG59" s="0"/>
      <c r="AIH59" s="0"/>
      <c r="AII59" s="0"/>
      <c r="AIJ59" s="0"/>
      <c r="AIK59" s="0"/>
      <c r="AIL59" s="0"/>
      <c r="AIM59" s="0"/>
      <c r="AIN59" s="0"/>
      <c r="AIO59" s="0"/>
      <c r="AIP59" s="0"/>
      <c r="AIQ59" s="0"/>
      <c r="AIR59" s="0"/>
      <c r="AIS59" s="0"/>
      <c r="AIT59" s="0"/>
      <c r="AIU59" s="0"/>
      <c r="AIV59" s="0"/>
      <c r="AIW59" s="0"/>
      <c r="AIX59" s="0"/>
      <c r="AIY59" s="0"/>
      <c r="AIZ59" s="0"/>
      <c r="AJA59" s="0"/>
      <c r="AJB59" s="0"/>
      <c r="AJC59" s="0"/>
      <c r="AJD59" s="0"/>
      <c r="AJE59" s="0"/>
      <c r="AJF59" s="0"/>
      <c r="AJG59" s="0"/>
      <c r="AJH59" s="0"/>
      <c r="AJI59" s="0"/>
      <c r="AJJ59" s="0"/>
      <c r="AJK59" s="0"/>
      <c r="AJL59" s="0"/>
      <c r="AJM59" s="0"/>
      <c r="AJN59" s="0"/>
      <c r="AJO59" s="0"/>
      <c r="AJP59" s="0"/>
      <c r="AJQ59" s="0"/>
      <c r="AJR59" s="0"/>
      <c r="AJS59" s="0"/>
      <c r="AJT59" s="0"/>
      <c r="AJU59" s="0"/>
      <c r="AJV59" s="0"/>
      <c r="AJW59" s="0"/>
      <c r="AJX59" s="0"/>
      <c r="AJY59" s="0"/>
      <c r="AJZ59" s="0"/>
      <c r="AKA59" s="0"/>
      <c r="AKB59" s="0"/>
      <c r="AKC59" s="0"/>
      <c r="AKD59" s="0"/>
      <c r="AKE59" s="0"/>
      <c r="AKF59" s="0"/>
      <c r="AKG59" s="0"/>
      <c r="AKH59" s="0"/>
      <c r="AKI59" s="0"/>
      <c r="AKJ59" s="0"/>
      <c r="AKK59" s="0"/>
      <c r="AKL59" s="0"/>
      <c r="AKM59" s="0"/>
      <c r="AKN59" s="0"/>
      <c r="AKO59" s="0"/>
      <c r="AKP59" s="0"/>
      <c r="AKQ59" s="0"/>
      <c r="AKR59" s="0"/>
      <c r="AKS59" s="0"/>
      <c r="AKT59" s="0"/>
      <c r="AKU59" s="0"/>
      <c r="AKV59" s="0"/>
      <c r="AKW59" s="0"/>
      <c r="AKX59" s="0"/>
      <c r="AKY59" s="0"/>
      <c r="AKZ59" s="0"/>
      <c r="ALA59" s="0"/>
      <c r="ALB59" s="0"/>
      <c r="ALC59" s="0"/>
      <c r="ALD59" s="0"/>
      <c r="ALE59" s="0"/>
      <c r="ALF59" s="0"/>
      <c r="ALG59" s="0"/>
      <c r="ALH59" s="0"/>
      <c r="ALI59" s="0"/>
      <c r="ALJ59" s="0"/>
      <c r="ALK59" s="0"/>
    </row>
    <row r="60" customFormat="false" ht="12.8" hidden="false" customHeight="false" outlineLevel="0" collapsed="false">
      <c r="B60" s="24"/>
      <c r="C60" s="50"/>
      <c r="D60" s="50"/>
      <c r="E60" s="64" t="s">
        <v>210</v>
      </c>
      <c r="F60" s="310" t="s">
        <v>114</v>
      </c>
      <c r="G60" s="300" t="n">
        <v>50.7493</v>
      </c>
      <c r="H60" s="301" t="n">
        <v>51.0372</v>
      </c>
      <c r="I60" s="302" t="n">
        <f aca="false">H60-G60</f>
        <v>0.2879</v>
      </c>
      <c r="J60" s="300" t="n">
        <v>58.6303</v>
      </c>
      <c r="K60" s="301" t="n">
        <v>61.7553</v>
      </c>
      <c r="L60" s="302" t="n">
        <f aca="false">K60-J60</f>
        <v>3.125</v>
      </c>
      <c r="M60" s="301" t="n">
        <v>28.8295</v>
      </c>
      <c r="N60" s="301" t="n">
        <v>29.0553</v>
      </c>
      <c r="O60" s="302" t="n">
        <f aca="false">N60-M60</f>
        <v>0.2258</v>
      </c>
      <c r="P60" s="303" t="n">
        <f aca="false">100*I60/(I60+L60+O60)</f>
        <v>7.91216643306677</v>
      </c>
      <c r="Q60" s="165"/>
      <c r="R60" s="165"/>
      <c r="S60" s="264"/>
      <c r="T60" s="264"/>
      <c r="U60" s="264"/>
      <c r="V60" s="303" t="n">
        <f aca="false">100*L60/(I60+L60+O60)</f>
        <v>85.8823206090087</v>
      </c>
      <c r="W60" s="165"/>
      <c r="X60" s="165"/>
      <c r="Y60" s="264"/>
      <c r="Z60" s="264"/>
      <c r="AA60" s="243"/>
      <c r="AB60" s="303" t="n">
        <f aca="false">100*O60/(I60+L60+O60)</f>
        <v>6.20551295792452</v>
      </c>
      <c r="AC60" s="0"/>
      <c r="AD60" s="165"/>
      <c r="AE60" s="264"/>
      <c r="AF60" s="264"/>
      <c r="AG60" s="264"/>
      <c r="AH60" s="33"/>
      <c r="DK60" s="0"/>
      <c r="DL60" s="0"/>
      <c r="DM60" s="0"/>
      <c r="DN60" s="0"/>
      <c r="DO60" s="0"/>
      <c r="DP60" s="0"/>
      <c r="DQ60" s="0"/>
      <c r="DR60" s="0"/>
      <c r="DS60" s="0"/>
      <c r="DT60" s="0"/>
      <c r="DU60" s="0"/>
      <c r="DV60" s="0"/>
      <c r="DW60" s="0"/>
      <c r="DX60" s="0"/>
      <c r="DY60" s="0"/>
      <c r="DZ60" s="0"/>
      <c r="EA60" s="0"/>
      <c r="EB60" s="0"/>
      <c r="EC60" s="0"/>
      <c r="ED60" s="0"/>
      <c r="EE60" s="0"/>
      <c r="EF60" s="0"/>
      <c r="EG60" s="0"/>
      <c r="EH60" s="0"/>
      <c r="EI60" s="0"/>
      <c r="EJ60" s="0"/>
      <c r="EK60" s="0"/>
      <c r="EL60" s="0"/>
      <c r="EM60" s="0"/>
      <c r="EN60" s="0"/>
      <c r="EO60" s="0"/>
      <c r="EP60" s="0"/>
      <c r="EQ60" s="0"/>
      <c r="ER60" s="0"/>
      <c r="ES60" s="0"/>
      <c r="ET60" s="0"/>
      <c r="EU60" s="0"/>
      <c r="EV60" s="0"/>
      <c r="EW60" s="0"/>
      <c r="EX60" s="0"/>
      <c r="EY60" s="0"/>
      <c r="EZ60" s="0"/>
      <c r="FA60" s="0"/>
      <c r="FB60" s="0"/>
      <c r="FC60" s="0"/>
      <c r="FD60" s="0"/>
      <c r="FE60" s="0"/>
      <c r="FF60" s="0"/>
      <c r="FG60" s="0"/>
      <c r="FH60" s="0"/>
      <c r="FI60" s="0"/>
      <c r="FJ60" s="0"/>
      <c r="FK60" s="0"/>
      <c r="FL60" s="0"/>
      <c r="FM60" s="0"/>
      <c r="FN60" s="0"/>
      <c r="FO60" s="0"/>
      <c r="FP60" s="0"/>
      <c r="FQ60" s="0"/>
      <c r="FR60" s="0"/>
      <c r="FS60" s="0"/>
      <c r="FT60" s="0"/>
      <c r="FU60" s="0"/>
      <c r="FV60" s="0"/>
      <c r="FW60" s="0"/>
      <c r="FX60" s="0"/>
      <c r="FY60" s="0"/>
      <c r="FZ60" s="0"/>
      <c r="GA60" s="0"/>
      <c r="GB60" s="0"/>
      <c r="GC60" s="0"/>
      <c r="GD60" s="0"/>
      <c r="GE60" s="0"/>
      <c r="GF60" s="0"/>
      <c r="GG60" s="0"/>
      <c r="GH60" s="0"/>
      <c r="GI60" s="0"/>
      <c r="GJ60" s="0"/>
      <c r="GK60" s="0"/>
      <c r="GL60" s="0"/>
      <c r="GM60" s="0"/>
      <c r="GN60" s="0"/>
      <c r="GO60" s="0"/>
      <c r="GP60" s="0"/>
      <c r="GQ60" s="0"/>
      <c r="GR60" s="0"/>
      <c r="GS60" s="0"/>
      <c r="GT60" s="0"/>
      <c r="GU60" s="0"/>
      <c r="GV60" s="0"/>
      <c r="GW60" s="0"/>
      <c r="GX60" s="0"/>
      <c r="GY60" s="0"/>
      <c r="GZ60" s="0"/>
      <c r="HA60" s="0"/>
      <c r="HB60" s="0"/>
      <c r="HC60" s="0"/>
      <c r="HD60" s="0"/>
      <c r="HE60" s="0"/>
      <c r="HF60" s="0"/>
      <c r="HG60" s="0"/>
      <c r="HH60" s="0"/>
      <c r="HI60" s="0"/>
      <c r="HJ60" s="0"/>
      <c r="HK60" s="0"/>
      <c r="HL60" s="0"/>
      <c r="HM60" s="0"/>
      <c r="HN60" s="0"/>
      <c r="HO60" s="0"/>
      <c r="HP60" s="0"/>
      <c r="HQ60" s="0"/>
      <c r="HR60" s="0"/>
      <c r="HS60" s="0"/>
      <c r="HT60" s="0"/>
      <c r="HU60" s="0"/>
      <c r="HV60" s="0"/>
      <c r="HW60" s="0"/>
      <c r="HX60" s="0"/>
      <c r="HY60" s="0"/>
      <c r="HZ60" s="0"/>
      <c r="IA60" s="0"/>
      <c r="IB60" s="0"/>
      <c r="IC60" s="0"/>
      <c r="ID60" s="0"/>
      <c r="IE60" s="0"/>
      <c r="IF60" s="0"/>
      <c r="IG60" s="0"/>
      <c r="IH60" s="0"/>
      <c r="II60" s="0"/>
      <c r="IJ60" s="0"/>
      <c r="IK60" s="0"/>
      <c r="IL60" s="0"/>
      <c r="IM60" s="0"/>
      <c r="IN60" s="0"/>
      <c r="IO60" s="0"/>
      <c r="IP60" s="0"/>
      <c r="IQ60" s="0"/>
      <c r="IR60" s="0"/>
      <c r="IS60" s="0"/>
      <c r="IT60" s="0"/>
      <c r="IU60" s="0"/>
      <c r="IV60" s="0"/>
      <c r="IW60" s="0"/>
      <c r="IX60" s="0"/>
      <c r="IY60" s="0"/>
      <c r="IZ60" s="0"/>
      <c r="JA60" s="0"/>
      <c r="JB60" s="0"/>
      <c r="JC60" s="0"/>
      <c r="JD60" s="0"/>
      <c r="JE60" s="0"/>
      <c r="JF60" s="0"/>
      <c r="JG60" s="0"/>
      <c r="JH60" s="0"/>
      <c r="JI60" s="0"/>
      <c r="JJ60" s="0"/>
      <c r="JK60" s="0"/>
      <c r="JL60" s="0"/>
      <c r="JM60" s="0"/>
      <c r="JN60" s="0"/>
      <c r="JO60" s="0"/>
      <c r="JP60" s="0"/>
      <c r="JQ60" s="0"/>
      <c r="JR60" s="0"/>
      <c r="JS60" s="0"/>
      <c r="JT60" s="0"/>
      <c r="JU60" s="0"/>
      <c r="JV60" s="0"/>
      <c r="JW60" s="0"/>
      <c r="JX60" s="0"/>
      <c r="JY60" s="0"/>
      <c r="JZ60" s="0"/>
      <c r="KA60" s="0"/>
      <c r="KB60" s="0"/>
      <c r="KC60" s="0"/>
      <c r="KD60" s="0"/>
      <c r="KE60" s="0"/>
      <c r="KF60" s="0"/>
      <c r="KG60" s="0"/>
      <c r="KH60" s="0"/>
      <c r="KI60" s="0"/>
      <c r="KJ60" s="0"/>
      <c r="KK60" s="0"/>
      <c r="KL60" s="0"/>
      <c r="KM60" s="0"/>
      <c r="KN60" s="0"/>
      <c r="KO60" s="0"/>
      <c r="KP60" s="0"/>
      <c r="KQ60" s="0"/>
      <c r="KR60" s="0"/>
      <c r="KS60" s="0"/>
      <c r="KT60" s="0"/>
      <c r="KU60" s="0"/>
      <c r="KV60" s="0"/>
      <c r="KW60" s="0"/>
      <c r="KX60" s="0"/>
      <c r="KY60" s="0"/>
      <c r="KZ60" s="0"/>
      <c r="LA60" s="0"/>
      <c r="LB60" s="0"/>
      <c r="LC60" s="0"/>
      <c r="LD60" s="0"/>
      <c r="LE60" s="0"/>
      <c r="LF60" s="0"/>
      <c r="LG60" s="0"/>
      <c r="LH60" s="0"/>
      <c r="LI60" s="0"/>
      <c r="LJ60" s="0"/>
      <c r="LK60" s="0"/>
      <c r="LL60" s="0"/>
      <c r="LM60" s="0"/>
      <c r="LN60" s="0"/>
      <c r="LO60" s="0"/>
      <c r="LP60" s="0"/>
      <c r="LQ60" s="0"/>
      <c r="LR60" s="0"/>
      <c r="LS60" s="0"/>
      <c r="LT60" s="0"/>
      <c r="LU60" s="0"/>
      <c r="LV60" s="0"/>
      <c r="LW60" s="0"/>
      <c r="LX60" s="0"/>
      <c r="LY60" s="0"/>
      <c r="LZ60" s="0"/>
      <c r="MA60" s="0"/>
      <c r="MB60" s="0"/>
      <c r="MC60" s="0"/>
      <c r="MD60" s="0"/>
      <c r="ME60" s="0"/>
      <c r="MF60" s="0"/>
      <c r="MG60" s="0"/>
      <c r="MH60" s="0"/>
      <c r="MI60" s="0"/>
      <c r="MJ60" s="0"/>
      <c r="MK60" s="0"/>
      <c r="ML60" s="0"/>
      <c r="MM60" s="0"/>
      <c r="MN60" s="0"/>
      <c r="MO60" s="0"/>
      <c r="MP60" s="0"/>
      <c r="MQ60" s="0"/>
      <c r="MR60" s="0"/>
      <c r="MS60" s="0"/>
      <c r="MT60" s="0"/>
      <c r="MU60" s="0"/>
      <c r="MV60" s="0"/>
      <c r="MW60" s="0"/>
      <c r="MX60" s="0"/>
      <c r="MY60" s="0"/>
      <c r="MZ60" s="0"/>
      <c r="NA60" s="0"/>
      <c r="NB60" s="0"/>
      <c r="NC60" s="0"/>
      <c r="ND60" s="0"/>
      <c r="NE60" s="0"/>
      <c r="NF60" s="0"/>
      <c r="NG60" s="0"/>
      <c r="NH60" s="0"/>
      <c r="NI60" s="0"/>
      <c r="NJ60" s="0"/>
      <c r="NK60" s="0"/>
      <c r="NL60" s="0"/>
      <c r="NM60" s="0"/>
      <c r="NN60" s="0"/>
      <c r="NO60" s="0"/>
      <c r="NP60" s="0"/>
      <c r="NQ60" s="0"/>
      <c r="NR60" s="0"/>
      <c r="NS60" s="0"/>
      <c r="NT60" s="0"/>
      <c r="NU60" s="0"/>
      <c r="NV60" s="0"/>
      <c r="NW60" s="0"/>
      <c r="NX60" s="0"/>
      <c r="NY60" s="0"/>
      <c r="NZ60" s="0"/>
      <c r="OA60" s="0"/>
      <c r="OB60" s="0"/>
      <c r="OC60" s="0"/>
      <c r="OD60" s="0"/>
      <c r="OE60" s="0"/>
      <c r="OF60" s="0"/>
      <c r="OG60" s="0"/>
      <c r="OH60" s="0"/>
      <c r="OI60" s="0"/>
      <c r="OJ60" s="0"/>
      <c r="OK60" s="0"/>
      <c r="OL60" s="0"/>
      <c r="OM60" s="0"/>
      <c r="ON60" s="0"/>
      <c r="OO60" s="0"/>
      <c r="OP60" s="0"/>
      <c r="OQ60" s="0"/>
      <c r="OR60" s="0"/>
      <c r="OS60" s="0"/>
      <c r="OT60" s="0"/>
      <c r="OU60" s="0"/>
      <c r="OV60" s="0"/>
      <c r="OW60" s="0"/>
      <c r="OX60" s="0"/>
      <c r="OY60" s="0"/>
      <c r="OZ60" s="0"/>
      <c r="PA60" s="0"/>
      <c r="PB60" s="0"/>
      <c r="PC60" s="0"/>
      <c r="PD60" s="0"/>
      <c r="PE60" s="0"/>
      <c r="PF60" s="0"/>
      <c r="PG60" s="0"/>
      <c r="PH60" s="0"/>
      <c r="PI60" s="0"/>
      <c r="PJ60" s="0"/>
      <c r="PK60" s="0"/>
      <c r="PL60" s="0"/>
      <c r="PM60" s="0"/>
      <c r="PN60" s="0"/>
      <c r="PO60" s="0"/>
      <c r="PP60" s="0"/>
      <c r="PQ60" s="0"/>
      <c r="PR60" s="0"/>
      <c r="PS60" s="0"/>
      <c r="PT60" s="0"/>
      <c r="PU60" s="0"/>
      <c r="PV60" s="0"/>
      <c r="PW60" s="0"/>
      <c r="PX60" s="0"/>
      <c r="PY60" s="0"/>
      <c r="PZ60" s="0"/>
      <c r="QA60" s="0"/>
      <c r="QB60" s="0"/>
      <c r="QC60" s="0"/>
      <c r="QD60" s="0"/>
      <c r="QE60" s="0"/>
      <c r="QF60" s="0"/>
      <c r="QG60" s="0"/>
      <c r="QH60" s="0"/>
      <c r="QI60" s="0"/>
      <c r="QJ60" s="0"/>
      <c r="QK60" s="0"/>
      <c r="QL60" s="0"/>
      <c r="QM60" s="0"/>
      <c r="QN60" s="0"/>
      <c r="QO60" s="0"/>
      <c r="QP60" s="0"/>
      <c r="QQ60" s="0"/>
      <c r="QR60" s="0"/>
      <c r="QS60" s="0"/>
      <c r="QT60" s="0"/>
      <c r="QU60" s="0"/>
      <c r="QV60" s="0"/>
      <c r="QW60" s="0"/>
      <c r="QX60" s="0"/>
      <c r="QY60" s="0"/>
      <c r="QZ60" s="0"/>
      <c r="RA60" s="0"/>
      <c r="RB60" s="0"/>
      <c r="RC60" s="0"/>
      <c r="RD60" s="0"/>
      <c r="RE60" s="0"/>
      <c r="RF60" s="0"/>
      <c r="RG60" s="0"/>
      <c r="RH60" s="0"/>
      <c r="RI60" s="0"/>
      <c r="RJ60" s="0"/>
      <c r="RK60" s="0"/>
      <c r="RL60" s="0"/>
      <c r="RM60" s="0"/>
      <c r="RN60" s="0"/>
      <c r="RO60" s="0"/>
      <c r="RP60" s="0"/>
      <c r="RQ60" s="0"/>
      <c r="RR60" s="0"/>
      <c r="RS60" s="0"/>
      <c r="RT60" s="0"/>
      <c r="RU60" s="0"/>
      <c r="RV60" s="0"/>
      <c r="RW60" s="0"/>
      <c r="RX60" s="0"/>
      <c r="RY60" s="0"/>
      <c r="RZ60" s="0"/>
      <c r="SA60" s="0"/>
      <c r="SB60" s="0"/>
      <c r="SC60" s="0"/>
      <c r="SD60" s="0"/>
      <c r="SE60" s="0"/>
      <c r="SF60" s="0"/>
      <c r="SG60" s="0"/>
      <c r="SH60" s="0"/>
      <c r="SI60" s="0"/>
      <c r="SJ60" s="0"/>
      <c r="SK60" s="0"/>
      <c r="SL60" s="0"/>
      <c r="SM60" s="0"/>
      <c r="SN60" s="0"/>
      <c r="SO60" s="0"/>
      <c r="SP60" s="0"/>
      <c r="SQ60" s="0"/>
      <c r="SR60" s="0"/>
      <c r="SS60" s="0"/>
      <c r="ST60" s="0"/>
      <c r="SU60" s="0"/>
      <c r="SV60" s="0"/>
      <c r="SW60" s="0"/>
      <c r="SX60" s="0"/>
      <c r="SY60" s="0"/>
      <c r="SZ60" s="0"/>
      <c r="TA60" s="0"/>
      <c r="TB60" s="0"/>
      <c r="TC60" s="0"/>
      <c r="TD60" s="0"/>
      <c r="TE60" s="0"/>
      <c r="TF60" s="0"/>
      <c r="TG60" s="0"/>
      <c r="TH60" s="0"/>
      <c r="TI60" s="0"/>
      <c r="TJ60" s="0"/>
      <c r="TK60" s="0"/>
      <c r="TL60" s="0"/>
      <c r="TM60" s="0"/>
      <c r="TN60" s="0"/>
      <c r="TO60" s="0"/>
      <c r="TP60" s="0"/>
      <c r="TQ60" s="0"/>
      <c r="TR60" s="0"/>
      <c r="TS60" s="0"/>
      <c r="TT60" s="0"/>
      <c r="TU60" s="0"/>
      <c r="TV60" s="0"/>
      <c r="TW60" s="0"/>
      <c r="TX60" s="0"/>
      <c r="TY60" s="0"/>
      <c r="TZ60" s="0"/>
      <c r="UA60" s="0"/>
      <c r="UB60" s="0"/>
      <c r="UC60" s="0"/>
      <c r="UD60" s="0"/>
      <c r="UE60" s="0"/>
      <c r="UF60" s="0"/>
      <c r="UG60" s="0"/>
      <c r="UH60" s="0"/>
      <c r="UI60" s="0"/>
      <c r="UJ60" s="0"/>
      <c r="UK60" s="0"/>
      <c r="UL60" s="0"/>
      <c r="UM60" s="0"/>
      <c r="UN60" s="0"/>
      <c r="UO60" s="0"/>
      <c r="UP60" s="0"/>
      <c r="UQ60" s="0"/>
      <c r="UR60" s="0"/>
      <c r="US60" s="0"/>
      <c r="UT60" s="0"/>
      <c r="UU60" s="0"/>
      <c r="UV60" s="0"/>
      <c r="UW60" s="0"/>
      <c r="UX60" s="0"/>
      <c r="UY60" s="0"/>
      <c r="UZ60" s="0"/>
      <c r="VA60" s="0"/>
      <c r="VB60" s="0"/>
      <c r="VC60" s="0"/>
      <c r="VD60" s="0"/>
      <c r="VE60" s="0"/>
      <c r="VF60" s="0"/>
      <c r="VG60" s="0"/>
      <c r="VH60" s="0"/>
      <c r="VI60" s="0"/>
      <c r="VJ60" s="0"/>
      <c r="VK60" s="0"/>
      <c r="VL60" s="0"/>
      <c r="VM60" s="0"/>
      <c r="VN60" s="0"/>
      <c r="VO60" s="0"/>
      <c r="VP60" s="0"/>
      <c r="VQ60" s="0"/>
      <c r="VR60" s="0"/>
      <c r="VS60" s="0"/>
      <c r="VT60" s="0"/>
      <c r="VU60" s="0"/>
      <c r="VV60" s="0"/>
      <c r="VW60" s="0"/>
      <c r="VX60" s="0"/>
      <c r="VY60" s="0"/>
      <c r="VZ60" s="0"/>
      <c r="WA60" s="0"/>
      <c r="WB60" s="0"/>
      <c r="WC60" s="0"/>
      <c r="WD60" s="0"/>
      <c r="WE60" s="0"/>
      <c r="WF60" s="0"/>
      <c r="WG60" s="0"/>
      <c r="WH60" s="0"/>
      <c r="WI60" s="0"/>
      <c r="WJ60" s="0"/>
      <c r="WK60" s="0"/>
      <c r="WL60" s="0"/>
      <c r="WM60" s="0"/>
      <c r="WN60" s="0"/>
      <c r="WO60" s="0"/>
      <c r="WP60" s="0"/>
      <c r="WQ60" s="0"/>
      <c r="WR60" s="0"/>
      <c r="WS60" s="0"/>
      <c r="WT60" s="0"/>
      <c r="WU60" s="0"/>
      <c r="WV60" s="0"/>
      <c r="WW60" s="0"/>
      <c r="WX60" s="0"/>
      <c r="WY60" s="0"/>
      <c r="WZ60" s="0"/>
      <c r="XA60" s="0"/>
      <c r="XB60" s="0"/>
      <c r="XC60" s="0"/>
      <c r="XD60" s="0"/>
      <c r="XE60" s="0"/>
      <c r="XF60" s="0"/>
      <c r="XG60" s="0"/>
      <c r="XH60" s="0"/>
      <c r="XI60" s="0"/>
      <c r="XJ60" s="0"/>
      <c r="XK60" s="0"/>
      <c r="XL60" s="0"/>
      <c r="XM60" s="0"/>
      <c r="XN60" s="0"/>
      <c r="XO60" s="0"/>
      <c r="XP60" s="0"/>
      <c r="XQ60" s="0"/>
      <c r="XR60" s="0"/>
      <c r="XS60" s="0"/>
      <c r="XT60" s="0"/>
      <c r="XU60" s="0"/>
      <c r="XV60" s="0"/>
      <c r="XW60" s="0"/>
      <c r="XX60" s="0"/>
      <c r="XY60" s="0"/>
      <c r="XZ60" s="0"/>
      <c r="YA60" s="0"/>
      <c r="YB60" s="0"/>
      <c r="YC60" s="0"/>
      <c r="YD60" s="0"/>
      <c r="YE60" s="0"/>
      <c r="YF60" s="0"/>
      <c r="YG60" s="0"/>
      <c r="YH60" s="0"/>
      <c r="YI60" s="0"/>
      <c r="YJ60" s="0"/>
      <c r="YK60" s="0"/>
      <c r="YL60" s="0"/>
      <c r="YM60" s="0"/>
      <c r="YN60" s="0"/>
      <c r="YO60" s="0"/>
      <c r="YP60" s="0"/>
      <c r="YQ60" s="0"/>
      <c r="YR60" s="0"/>
      <c r="YS60" s="0"/>
      <c r="YT60" s="0"/>
      <c r="YU60" s="0"/>
      <c r="YV60" s="0"/>
      <c r="YW60" s="0"/>
      <c r="YX60" s="0"/>
      <c r="YY60" s="0"/>
      <c r="YZ60" s="0"/>
      <c r="ZA60" s="0"/>
      <c r="ZB60" s="0"/>
      <c r="ZC60" s="0"/>
      <c r="ZD60" s="0"/>
      <c r="ZE60" s="0"/>
      <c r="ZF60" s="0"/>
      <c r="ZG60" s="0"/>
      <c r="ZH60" s="0"/>
      <c r="ZI60" s="0"/>
      <c r="ZJ60" s="0"/>
      <c r="ZK60" s="0"/>
      <c r="ZL60" s="0"/>
      <c r="ZM60" s="0"/>
      <c r="ZN60" s="0"/>
      <c r="ZO60" s="0"/>
      <c r="ZP60" s="0"/>
      <c r="ZQ60" s="0"/>
      <c r="ZR60" s="0"/>
      <c r="ZS60" s="0"/>
      <c r="ZT60" s="0"/>
      <c r="ZU60" s="0"/>
      <c r="ZV60" s="0"/>
      <c r="ZW60" s="0"/>
      <c r="ZX60" s="0"/>
      <c r="ZY60" s="0"/>
      <c r="ZZ60" s="0"/>
      <c r="AAA60" s="0"/>
      <c r="AAB60" s="0"/>
      <c r="AAC60" s="0"/>
      <c r="AAD60" s="0"/>
      <c r="AAE60" s="0"/>
      <c r="AAF60" s="0"/>
      <c r="AAG60" s="0"/>
      <c r="AAH60" s="0"/>
      <c r="AAI60" s="0"/>
      <c r="AAJ60" s="0"/>
      <c r="AAK60" s="0"/>
      <c r="AAL60" s="0"/>
      <c r="AAM60" s="0"/>
      <c r="AAN60" s="0"/>
      <c r="AAO60" s="0"/>
      <c r="AAP60" s="0"/>
      <c r="AAQ60" s="0"/>
      <c r="AAR60" s="0"/>
      <c r="AAS60" s="0"/>
      <c r="AAT60" s="0"/>
      <c r="AAU60" s="0"/>
      <c r="AAV60" s="0"/>
      <c r="AAW60" s="0"/>
      <c r="AAX60" s="0"/>
      <c r="AAY60" s="0"/>
      <c r="AAZ60" s="0"/>
      <c r="ABA60" s="0"/>
      <c r="ABB60" s="0"/>
      <c r="ABC60" s="0"/>
      <c r="ABD60" s="0"/>
      <c r="ABE60" s="0"/>
      <c r="ABF60" s="0"/>
      <c r="ABG60" s="0"/>
      <c r="ABH60" s="0"/>
      <c r="ABI60" s="0"/>
      <c r="ABJ60" s="0"/>
      <c r="ABK60" s="0"/>
      <c r="ABL60" s="0"/>
      <c r="ABM60" s="0"/>
      <c r="ABN60" s="0"/>
      <c r="ABO60" s="0"/>
      <c r="ABP60" s="0"/>
      <c r="ABQ60" s="0"/>
      <c r="ABR60" s="0"/>
      <c r="ABS60" s="0"/>
      <c r="ABT60" s="0"/>
      <c r="ABU60" s="0"/>
      <c r="ABV60" s="0"/>
      <c r="ABW60" s="0"/>
      <c r="ABX60" s="0"/>
      <c r="ABY60" s="0"/>
      <c r="ABZ60" s="0"/>
      <c r="ACA60" s="0"/>
      <c r="ACB60" s="0"/>
      <c r="ACC60" s="0"/>
      <c r="ACD60" s="0"/>
      <c r="ACE60" s="0"/>
      <c r="ACF60" s="0"/>
      <c r="ACG60" s="0"/>
      <c r="ACH60" s="0"/>
      <c r="ACI60" s="0"/>
      <c r="ACJ60" s="0"/>
      <c r="ACK60" s="0"/>
      <c r="ACL60" s="0"/>
      <c r="ACM60" s="0"/>
      <c r="ACN60" s="0"/>
      <c r="ACO60" s="0"/>
      <c r="ACP60" s="0"/>
      <c r="ACQ60" s="0"/>
      <c r="ACR60" s="0"/>
      <c r="ACS60" s="0"/>
      <c r="ACT60" s="0"/>
      <c r="ACU60" s="0"/>
      <c r="ACV60" s="0"/>
      <c r="ACW60" s="0"/>
      <c r="ACX60" s="0"/>
      <c r="ACY60" s="0"/>
      <c r="ACZ60" s="0"/>
      <c r="ADA60" s="0"/>
      <c r="ADB60" s="0"/>
      <c r="ADC60" s="0"/>
      <c r="ADD60" s="0"/>
      <c r="ADE60" s="0"/>
      <c r="ADF60" s="0"/>
      <c r="ADG60" s="0"/>
      <c r="ADH60" s="0"/>
      <c r="ADI60" s="0"/>
      <c r="ADJ60" s="0"/>
      <c r="ADK60" s="0"/>
      <c r="ADL60" s="0"/>
      <c r="ADM60" s="0"/>
      <c r="ADN60" s="0"/>
      <c r="ADO60" s="0"/>
      <c r="ADP60" s="0"/>
      <c r="ADQ60" s="0"/>
      <c r="ADR60" s="0"/>
      <c r="ADS60" s="0"/>
      <c r="ADT60" s="0"/>
      <c r="ADU60" s="0"/>
      <c r="ADV60" s="0"/>
      <c r="ADW60" s="0"/>
      <c r="ADX60" s="0"/>
      <c r="ADY60" s="0"/>
      <c r="ADZ60" s="0"/>
      <c r="AEA60" s="0"/>
      <c r="AEB60" s="0"/>
      <c r="AEC60" s="0"/>
      <c r="AED60" s="0"/>
      <c r="AEE60" s="0"/>
      <c r="AEF60" s="0"/>
      <c r="AEG60" s="0"/>
      <c r="AEH60" s="0"/>
      <c r="AEI60" s="0"/>
      <c r="AEJ60" s="0"/>
      <c r="AEK60" s="0"/>
      <c r="AEL60" s="0"/>
      <c r="AEM60" s="0"/>
      <c r="AEN60" s="0"/>
      <c r="AEO60" s="0"/>
      <c r="AEP60" s="0"/>
      <c r="AEQ60" s="0"/>
      <c r="AER60" s="0"/>
      <c r="AES60" s="0"/>
      <c r="AET60" s="0"/>
      <c r="AEU60" s="0"/>
      <c r="AEV60" s="0"/>
      <c r="AEW60" s="0"/>
      <c r="AEX60" s="0"/>
      <c r="AEY60" s="0"/>
      <c r="AEZ60" s="0"/>
      <c r="AFA60" s="0"/>
      <c r="AFB60" s="0"/>
      <c r="AFC60" s="0"/>
      <c r="AFD60" s="0"/>
      <c r="AFE60" s="0"/>
      <c r="AFF60" s="0"/>
      <c r="AFG60" s="0"/>
      <c r="AFH60" s="0"/>
      <c r="AFI60" s="0"/>
      <c r="AFJ60" s="0"/>
      <c r="AFK60" s="0"/>
      <c r="AFL60" s="0"/>
      <c r="AFM60" s="0"/>
      <c r="AFN60" s="0"/>
      <c r="AFO60" s="0"/>
      <c r="AFP60" s="0"/>
      <c r="AFQ60" s="0"/>
      <c r="AFR60" s="0"/>
      <c r="AFS60" s="0"/>
      <c r="AFT60" s="0"/>
      <c r="AFU60" s="0"/>
      <c r="AFV60" s="0"/>
      <c r="AFW60" s="0"/>
      <c r="AFX60" s="0"/>
      <c r="AFY60" s="0"/>
      <c r="AFZ60" s="0"/>
      <c r="AGA60" s="0"/>
      <c r="AGB60" s="0"/>
      <c r="AGC60" s="0"/>
      <c r="AGD60" s="0"/>
      <c r="AGE60" s="0"/>
      <c r="AGF60" s="0"/>
      <c r="AGG60" s="0"/>
      <c r="AGH60" s="0"/>
      <c r="AGI60" s="0"/>
      <c r="AGJ60" s="0"/>
      <c r="AGK60" s="0"/>
      <c r="AGL60" s="0"/>
      <c r="AGM60" s="0"/>
      <c r="AGN60" s="0"/>
      <c r="AGO60" s="0"/>
      <c r="AGP60" s="0"/>
      <c r="AGQ60" s="0"/>
      <c r="AGR60" s="0"/>
      <c r="AGS60" s="0"/>
      <c r="AGT60" s="0"/>
      <c r="AGU60" s="0"/>
      <c r="AGV60" s="0"/>
      <c r="AGW60" s="0"/>
      <c r="AGX60" s="0"/>
      <c r="AGY60" s="0"/>
      <c r="AGZ60" s="0"/>
      <c r="AHA60" s="0"/>
      <c r="AHB60" s="0"/>
      <c r="AHC60" s="0"/>
      <c r="AHD60" s="0"/>
      <c r="AHE60" s="0"/>
      <c r="AHF60" s="0"/>
      <c r="AHG60" s="0"/>
      <c r="AHH60" s="0"/>
      <c r="AHI60" s="0"/>
      <c r="AHJ60" s="0"/>
      <c r="AHK60" s="0"/>
      <c r="AHL60" s="0"/>
      <c r="AHM60" s="0"/>
      <c r="AHN60" s="0"/>
      <c r="AHO60" s="0"/>
      <c r="AHP60" s="0"/>
      <c r="AHQ60" s="0"/>
      <c r="AHR60" s="0"/>
      <c r="AHS60" s="0"/>
      <c r="AHT60" s="0"/>
      <c r="AHU60" s="0"/>
      <c r="AHV60" s="0"/>
      <c r="AHW60" s="0"/>
      <c r="AHX60" s="0"/>
      <c r="AHY60" s="0"/>
      <c r="AHZ60" s="0"/>
      <c r="AIA60" s="0"/>
      <c r="AIB60" s="0"/>
      <c r="AIC60" s="0"/>
      <c r="AID60" s="0"/>
      <c r="AIE60" s="0"/>
      <c r="AIF60" s="0"/>
      <c r="AIG60" s="0"/>
      <c r="AIH60" s="0"/>
      <c r="AII60" s="0"/>
      <c r="AIJ60" s="0"/>
      <c r="AIK60" s="0"/>
      <c r="AIL60" s="0"/>
      <c r="AIM60" s="0"/>
      <c r="AIN60" s="0"/>
      <c r="AIO60" s="0"/>
      <c r="AIP60" s="0"/>
      <c r="AIQ60" s="0"/>
      <c r="AIR60" s="0"/>
      <c r="AIS60" s="0"/>
      <c r="AIT60" s="0"/>
      <c r="AIU60" s="0"/>
      <c r="AIV60" s="0"/>
      <c r="AIW60" s="0"/>
      <c r="AIX60" s="0"/>
      <c r="AIY60" s="0"/>
      <c r="AIZ60" s="0"/>
      <c r="AJA60" s="0"/>
      <c r="AJB60" s="0"/>
      <c r="AJC60" s="0"/>
      <c r="AJD60" s="0"/>
      <c r="AJE60" s="0"/>
      <c r="AJF60" s="0"/>
      <c r="AJG60" s="0"/>
      <c r="AJH60" s="0"/>
      <c r="AJI60" s="0"/>
      <c r="AJJ60" s="0"/>
      <c r="AJK60" s="0"/>
      <c r="AJL60" s="0"/>
      <c r="AJM60" s="0"/>
      <c r="AJN60" s="0"/>
      <c r="AJO60" s="0"/>
      <c r="AJP60" s="0"/>
      <c r="AJQ60" s="0"/>
      <c r="AJR60" s="0"/>
      <c r="AJS60" s="0"/>
      <c r="AJT60" s="0"/>
      <c r="AJU60" s="0"/>
      <c r="AJV60" s="0"/>
      <c r="AJW60" s="0"/>
      <c r="AJX60" s="0"/>
      <c r="AJY60" s="0"/>
      <c r="AJZ60" s="0"/>
      <c r="AKA60" s="0"/>
      <c r="AKB60" s="0"/>
      <c r="AKC60" s="0"/>
      <c r="AKD60" s="0"/>
      <c r="AKE60" s="0"/>
      <c r="AKF60" s="0"/>
      <c r="AKG60" s="0"/>
      <c r="AKH60" s="0"/>
      <c r="AKI60" s="0"/>
      <c r="AKJ60" s="0"/>
      <c r="AKK60" s="0"/>
      <c r="AKL60" s="0"/>
      <c r="AKM60" s="0"/>
      <c r="AKN60" s="0"/>
      <c r="AKO60" s="0"/>
      <c r="AKP60" s="0"/>
      <c r="AKQ60" s="0"/>
      <c r="AKR60" s="0"/>
      <c r="AKS60" s="0"/>
      <c r="AKT60" s="0"/>
      <c r="AKU60" s="0"/>
      <c r="AKV60" s="0"/>
      <c r="AKW60" s="0"/>
      <c r="AKX60" s="0"/>
      <c r="AKY60" s="0"/>
      <c r="AKZ60" s="0"/>
      <c r="ALA60" s="0"/>
      <c r="ALB60" s="0"/>
      <c r="ALC60" s="0"/>
      <c r="ALD60" s="0"/>
      <c r="ALE60" s="0"/>
      <c r="ALF60" s="0"/>
      <c r="ALG60" s="0"/>
      <c r="ALH60" s="0"/>
      <c r="ALI60" s="0"/>
      <c r="ALJ60" s="0"/>
      <c r="ALK60" s="0"/>
    </row>
    <row r="61" customFormat="false" ht="12.8" hidden="false" customHeight="false" outlineLevel="0" collapsed="false">
      <c r="B61" s="24"/>
      <c r="C61" s="50"/>
      <c r="D61" s="176" t="s">
        <v>161</v>
      </c>
      <c r="E61" s="247" t="n">
        <v>1</v>
      </c>
      <c r="F61" s="304" t="s">
        <v>103</v>
      </c>
      <c r="G61" s="305" t="n">
        <v>58.5767</v>
      </c>
      <c r="H61" s="306" t="n">
        <v>58.7134</v>
      </c>
      <c r="I61" s="307" t="n">
        <f aca="false">H61-G61</f>
        <v>0.136699999999998</v>
      </c>
      <c r="J61" s="305" t="n">
        <v>63.2246</v>
      </c>
      <c r="K61" s="306" t="n">
        <v>66.4617</v>
      </c>
      <c r="L61" s="307" t="n">
        <f aca="false">K61-J61</f>
        <v>3.23709999999999</v>
      </c>
      <c r="M61" s="306" t="n">
        <v>24.5212</v>
      </c>
      <c r="N61" s="306" t="n">
        <v>24.7896</v>
      </c>
      <c r="O61" s="307" t="n">
        <f aca="false">N61-M61</f>
        <v>0.2684</v>
      </c>
      <c r="P61" s="308" t="n">
        <f aca="false">100*I61/(I61+L61+O61)</f>
        <v>3.75322607215414</v>
      </c>
      <c r="Q61" s="182" t="n">
        <f aca="false">AVERAGE(P61:P65)</f>
        <v>4.11706735146076</v>
      </c>
      <c r="R61" s="182" t="n">
        <f aca="false">STDEV(P61:P65)</f>
        <v>1.14483530368533</v>
      </c>
      <c r="S61" s="253"/>
      <c r="T61" s="253"/>
      <c r="U61" s="253"/>
      <c r="V61" s="308" t="n">
        <f aca="false">100*L61/(I61+L61+O61)</f>
        <v>88.8776014496733</v>
      </c>
      <c r="W61" s="182" t="n">
        <f aca="false">AVERAGE(V61:V65)</f>
        <v>89.2719999540062</v>
      </c>
      <c r="X61" s="182" t="n">
        <f aca="false">STDEV(V61:V65)</f>
        <v>1.29543454898872</v>
      </c>
      <c r="Y61" s="253"/>
      <c r="Z61" s="253"/>
      <c r="AA61" s="251"/>
      <c r="AB61" s="308" t="n">
        <f aca="false">100*O61/(I61+L61+O61)</f>
        <v>7.36917247817255</v>
      </c>
      <c r="AC61" s="182" t="n">
        <f aca="false">AVERAGE(AB61:AB65)</f>
        <v>6.6109326945331</v>
      </c>
      <c r="AD61" s="182" t="n">
        <f aca="false">STDEV(AB61:AB65)</f>
        <v>0.74867657557404</v>
      </c>
      <c r="AE61" s="253"/>
      <c r="AF61" s="253"/>
      <c r="AG61" s="253"/>
      <c r="AH61" s="33"/>
    </row>
    <row r="62" customFormat="false" ht="12.8" hidden="false" customHeight="false" outlineLevel="0" collapsed="false">
      <c r="B62" s="24"/>
      <c r="C62" s="50"/>
      <c r="D62" s="50"/>
      <c r="E62" s="64" t="s">
        <v>211</v>
      </c>
      <c r="F62" s="299" t="s">
        <v>105</v>
      </c>
      <c r="G62" s="300" t="n">
        <v>41.7448</v>
      </c>
      <c r="H62" s="301" t="n">
        <v>41.9836</v>
      </c>
      <c r="I62" s="302" t="n">
        <f aca="false">H62-G62</f>
        <v>0.238800000000005</v>
      </c>
      <c r="J62" s="300" t="n">
        <v>57.0149</v>
      </c>
      <c r="K62" s="301" t="n">
        <v>60.5682</v>
      </c>
      <c r="L62" s="302" t="n">
        <f aca="false">K62-J62</f>
        <v>3.5533</v>
      </c>
      <c r="M62" s="301" t="n">
        <v>28.1605</v>
      </c>
      <c r="N62" s="301" t="n">
        <v>28.4369</v>
      </c>
      <c r="O62" s="302" t="n">
        <f aca="false">N62-M62</f>
        <v>0.276400000000002</v>
      </c>
      <c r="P62" s="303" t="n">
        <f aca="false">100*I62/(I62+L62+O62)</f>
        <v>5.86948506820706</v>
      </c>
      <c r="Q62" s="262" t="n">
        <f aca="false">QUARTILE(P61:P65,1)-(1.5*(QUARTILE(P61:P65,3)-QUARTILE(P61:P65,1)))</f>
        <v>2.94211642777377</v>
      </c>
      <c r="R62" s="165"/>
      <c r="S62" s="264"/>
      <c r="T62" s="264"/>
      <c r="U62" s="264"/>
      <c r="V62" s="303" t="n">
        <f aca="false">100*L62/(I62+L62+O62)</f>
        <v>87.3368563352586</v>
      </c>
      <c r="W62" s="262" t="n">
        <f aca="false">QUARTILE(V61:V65,1)-(1.5*(QUARTILE(V61:V65,3)-QUARTILE(V61:V65,1)))</f>
        <v>86.6649388582991</v>
      </c>
      <c r="X62" s="165"/>
      <c r="Y62" s="264"/>
      <c r="Z62" s="264"/>
      <c r="AA62" s="243"/>
      <c r="AB62" s="303" t="n">
        <f aca="false">100*O62/(I62+L62+O62)</f>
        <v>6.7936585965344</v>
      </c>
      <c r="AC62" s="262" t="n">
        <f aca="false">QUARTILE(AB61:AB65,1)-(1.5*(QUARTILE(AB61:AB65,3)-QUARTILE(AB61:AB65,1)))</f>
        <v>6.64150373744004</v>
      </c>
      <c r="AD62" s="165"/>
      <c r="AE62" s="264"/>
      <c r="AF62" s="264"/>
      <c r="AG62" s="264"/>
      <c r="AH62" s="33"/>
    </row>
    <row r="63" customFormat="false" ht="12.8" hidden="false" customHeight="false" outlineLevel="0" collapsed="false">
      <c r="B63" s="24"/>
      <c r="C63" s="50"/>
      <c r="D63" s="50"/>
      <c r="E63" s="64" t="s">
        <v>208</v>
      </c>
      <c r="F63" s="299" t="s">
        <v>108</v>
      </c>
      <c r="G63" s="300" t="n">
        <v>70.1134</v>
      </c>
      <c r="H63" s="301" t="n">
        <v>70.2543</v>
      </c>
      <c r="I63" s="302" t="n">
        <f aca="false">H63-G63</f>
        <v>0.140900000000002</v>
      </c>
      <c r="J63" s="300" t="n">
        <v>55.4303</v>
      </c>
      <c r="K63" s="301" t="n">
        <v>58.6056</v>
      </c>
      <c r="L63" s="302" t="n">
        <f aca="false">K63-J63</f>
        <v>3.1753</v>
      </c>
      <c r="M63" s="301" t="n">
        <v>27.2216</v>
      </c>
      <c r="N63" s="301" t="n">
        <v>27.4636</v>
      </c>
      <c r="O63" s="302" t="n">
        <f aca="false">N63-M63</f>
        <v>0.242000000000001</v>
      </c>
      <c r="P63" s="303" t="n">
        <f aca="false">100*I63/(I63+L63+O63)</f>
        <v>3.95986734865949</v>
      </c>
      <c r="Q63" s="262" t="n">
        <f aca="false">QUARTILE(P61:P65,3)+(1.5*(QUARTILE(P61:P65,3)-QUARTILE(P61:P65,1)))</f>
        <v>5.10507547945475</v>
      </c>
      <c r="R63" s="165"/>
      <c r="S63" s="264"/>
      <c r="T63" s="264"/>
      <c r="U63" s="264"/>
      <c r="V63" s="303" t="n">
        <f aca="false">100*L63/(I63+L63+O63)</f>
        <v>89.2389410376032</v>
      </c>
      <c r="W63" s="262" t="n">
        <f aca="false">QUARTILE(V61:V65,3)+(1.5*(QUARTILE(V61:V65,3)-QUARTILE(V61:V65,1)))</f>
        <v>92.565372435297</v>
      </c>
      <c r="X63" s="165"/>
      <c r="Y63" s="264"/>
      <c r="Z63" s="264"/>
      <c r="AA63" s="243"/>
      <c r="AB63" s="303" t="n">
        <f aca="false">100*O63/(I63+L63+O63)</f>
        <v>6.8011916137373</v>
      </c>
      <c r="AC63" s="262" t="n">
        <f aca="false">QUARTILE(AB61:AB65,3)+(1.5*(QUARTILE(AB61:AB65,3)-QUARTILE(AB61:AB65,1)))</f>
        <v>6.89700433951566</v>
      </c>
      <c r="AD63" s="165"/>
      <c r="AE63" s="264"/>
      <c r="AF63" s="264"/>
      <c r="AG63" s="264"/>
      <c r="AH63" s="33"/>
    </row>
    <row r="64" customFormat="false" ht="12.8" hidden="false" customHeight="false" outlineLevel="0" collapsed="false">
      <c r="B64" s="24"/>
      <c r="C64" s="50"/>
      <c r="D64" s="50"/>
      <c r="E64" s="64" t="n">
        <v>4</v>
      </c>
      <c r="F64" s="299" t="s">
        <v>111</v>
      </c>
      <c r="G64" s="300" t="n">
        <v>70.7216</v>
      </c>
      <c r="H64" s="301" t="n">
        <v>70.8963</v>
      </c>
      <c r="I64" s="302" t="n">
        <f aca="false">H64-G64</f>
        <v>0.174700000000001</v>
      </c>
      <c r="J64" s="300" t="n">
        <f aca="false">98.3444+28.8055</f>
        <v>127.1499</v>
      </c>
      <c r="K64" s="301" t="n">
        <f aca="false">100.7439+30.082</f>
        <v>130.8259</v>
      </c>
      <c r="L64" s="302" t="n">
        <f aca="false">K64-J64</f>
        <v>3.676</v>
      </c>
      <c r="M64" s="301" t="n">
        <v>26.3832</v>
      </c>
      <c r="N64" s="301" t="n">
        <v>26.601</v>
      </c>
      <c r="O64" s="302" t="n">
        <f aca="false">N64-M64</f>
        <v>0.2178</v>
      </c>
      <c r="P64" s="303" t="n">
        <f aca="false">100*I64/(I64+L64+O64)</f>
        <v>4.29396583507438</v>
      </c>
      <c r="Q64" s="265" t="n">
        <v>0.5632</v>
      </c>
      <c r="R64" s="165"/>
      <c r="S64" s="264"/>
      <c r="T64" s="264"/>
      <c r="U64" s="264"/>
      <c r="V64" s="303" t="n">
        <f aca="false">100*L64/(I64+L64+O64)</f>
        <v>90.3527098439228</v>
      </c>
      <c r="W64" s="265" t="n">
        <v>0.5052</v>
      </c>
      <c r="X64" s="165"/>
      <c r="Y64" s="264"/>
      <c r="Z64" s="264"/>
      <c r="AA64" s="243"/>
      <c r="AB64" s="303" t="n">
        <f aca="false">100*O64/(I64+L64+O64)</f>
        <v>5.35332432100283</v>
      </c>
      <c r="AC64" s="265" t="n">
        <v>0.6902</v>
      </c>
      <c r="AD64" s="165"/>
      <c r="AE64" s="264"/>
      <c r="AF64" s="264"/>
      <c r="AG64" s="264"/>
      <c r="AH64" s="33"/>
    </row>
    <row r="65" customFormat="false" ht="12.8" hidden="false" customHeight="false" outlineLevel="0" collapsed="false">
      <c r="B65" s="24"/>
      <c r="C65" s="50"/>
      <c r="D65" s="50"/>
      <c r="E65" s="64" t="s">
        <v>210</v>
      </c>
      <c r="F65" s="318" t="s">
        <v>114</v>
      </c>
      <c r="G65" s="300" t="n">
        <v>50.7461</v>
      </c>
      <c r="H65" s="301" t="n">
        <v>50.8555</v>
      </c>
      <c r="I65" s="302" t="n">
        <f aca="false">H65-G65</f>
        <v>0.109400000000001</v>
      </c>
      <c r="J65" s="300" t="n">
        <f aca="false">93.5354+23.7123</f>
        <v>117.2477</v>
      </c>
      <c r="K65" s="301" t="n">
        <f aca="false">94.0639+26.841</f>
        <v>120.9049</v>
      </c>
      <c r="L65" s="302" t="n">
        <f aca="false">K65-J65</f>
        <v>3.6572</v>
      </c>
      <c r="M65" s="301" t="n">
        <v>27.3934</v>
      </c>
      <c r="N65" s="301" t="n">
        <v>27.6655</v>
      </c>
      <c r="O65" s="302" t="n">
        <f aca="false">N65-M65</f>
        <v>0.272100000000002</v>
      </c>
      <c r="P65" s="303" t="n">
        <f aca="false">100*I65/(I65+L65+O65)</f>
        <v>2.70879243320872</v>
      </c>
      <c r="Q65" s="165"/>
      <c r="R65" s="165"/>
      <c r="S65" s="264"/>
      <c r="T65" s="264"/>
      <c r="U65" s="264"/>
      <c r="V65" s="303" t="n">
        <f aca="false">100*L65/(I65+L65+O65)</f>
        <v>90.5538911035729</v>
      </c>
      <c r="W65" s="165"/>
      <c r="X65" s="165"/>
      <c r="Y65" s="264"/>
      <c r="Z65" s="264"/>
      <c r="AA65" s="243"/>
      <c r="AB65" s="303" t="n">
        <f aca="false">100*O65/(I65+L65+O65)</f>
        <v>6.7373164632184</v>
      </c>
      <c r="AC65" s="165"/>
      <c r="AD65" s="165"/>
      <c r="AE65" s="264"/>
      <c r="AF65" s="264"/>
      <c r="AG65" s="264"/>
      <c r="AH65" s="33"/>
    </row>
    <row r="66" customFormat="false" ht="12.8" hidden="false" customHeight="false" outlineLevel="0" collapsed="false">
      <c r="B66" s="24"/>
      <c r="C66" s="50"/>
      <c r="D66" s="50"/>
      <c r="E66" s="64"/>
      <c r="F66" s="191"/>
      <c r="G66" s="329"/>
      <c r="H66" s="330"/>
      <c r="I66" s="329"/>
      <c r="J66" s="329"/>
      <c r="K66" s="330"/>
      <c r="L66" s="329"/>
      <c r="M66" s="330"/>
      <c r="N66" s="330"/>
      <c r="O66" s="329"/>
      <c r="P66" s="331"/>
      <c r="Q66" s="165"/>
      <c r="R66" s="165"/>
      <c r="S66" s="264"/>
      <c r="T66" s="264"/>
      <c r="U66" s="264"/>
      <c r="V66" s="331"/>
      <c r="W66" s="165"/>
      <c r="X66" s="165"/>
      <c r="Y66" s="264"/>
      <c r="Z66" s="264"/>
      <c r="AA66" s="245"/>
      <c r="AB66" s="331"/>
      <c r="AC66" s="165"/>
      <c r="AD66" s="165"/>
      <c r="AE66" s="264"/>
      <c r="AF66" s="264"/>
      <c r="AG66" s="264"/>
      <c r="AH66" s="33"/>
    </row>
    <row r="67" customFormat="false" ht="12.8" hidden="false" customHeight="false" outlineLevel="0" collapsed="false">
      <c r="B67" s="24"/>
      <c r="C67" s="50"/>
      <c r="D67" s="50"/>
      <c r="E67" s="64"/>
      <c r="F67" s="191"/>
      <c r="G67" s="329"/>
      <c r="H67" s="330"/>
      <c r="I67" s="329"/>
      <c r="J67" s="329"/>
      <c r="K67" s="330"/>
      <c r="L67" s="329"/>
      <c r="M67" s="330"/>
      <c r="N67" s="330"/>
      <c r="O67" s="329"/>
      <c r="P67" s="331"/>
      <c r="Q67" s="165"/>
      <c r="R67" s="165"/>
      <c r="S67" s="264"/>
      <c r="T67" s="264"/>
      <c r="U67" s="264"/>
      <c r="V67" s="331"/>
      <c r="W67" s="165"/>
      <c r="X67" s="165"/>
      <c r="Y67" s="264"/>
      <c r="Z67" s="264"/>
      <c r="AA67" s="245"/>
      <c r="AB67" s="331"/>
      <c r="AC67" s="165"/>
      <c r="AD67" s="165"/>
      <c r="AE67" s="264"/>
      <c r="AF67" s="264"/>
      <c r="AG67" s="264"/>
      <c r="AH67" s="33"/>
    </row>
    <row r="68" customFormat="false" ht="12.8" hidden="false" customHeight="false" outlineLevel="0" collapsed="false">
      <c r="B68" s="24"/>
      <c r="C68" s="50"/>
      <c r="D68" s="262"/>
      <c r="E68" s="263" t="s">
        <v>186</v>
      </c>
      <c r="F68" s="263"/>
      <c r="G68" s="263"/>
      <c r="H68" s="263"/>
      <c r="I68" s="263"/>
      <c r="J68" s="329"/>
      <c r="K68" s="330"/>
      <c r="L68" s="329"/>
      <c r="M68" s="330"/>
      <c r="N68" s="330"/>
      <c r="O68" s="329"/>
      <c r="P68" s="331"/>
      <c r="Q68" s="165"/>
      <c r="R68" s="165"/>
      <c r="S68" s="264"/>
      <c r="T68" s="264"/>
      <c r="U68" s="264"/>
      <c r="V68" s="331"/>
      <c r="W68" s="165"/>
      <c r="X68" s="165"/>
      <c r="Y68" s="264"/>
      <c r="Z68" s="264"/>
      <c r="AA68" s="245"/>
      <c r="AB68" s="331"/>
      <c r="AC68" s="165"/>
      <c r="AD68" s="165"/>
      <c r="AE68" s="264"/>
      <c r="AF68" s="264"/>
      <c r="AG68" s="264"/>
      <c r="AH68" s="33"/>
    </row>
    <row r="69" customFormat="false" ht="12.8" hidden="false" customHeight="false" outlineLevel="0" collapsed="false">
      <c r="B69" s="24"/>
      <c r="C69" s="50"/>
      <c r="D69" s="265"/>
      <c r="E69" s="263" t="s">
        <v>187</v>
      </c>
      <c r="F69" s="263"/>
      <c r="G69" s="263"/>
      <c r="H69" s="263"/>
      <c r="I69" s="263"/>
      <c r="J69" s="329"/>
      <c r="K69" s="330"/>
      <c r="L69" s="329"/>
      <c r="M69" s="330"/>
      <c r="N69" s="330"/>
      <c r="O69" s="329"/>
      <c r="P69" s="331"/>
      <c r="Q69" s="165"/>
      <c r="R69" s="165"/>
      <c r="S69" s="264"/>
      <c r="T69" s="264"/>
      <c r="U69" s="264"/>
      <c r="V69" s="331"/>
      <c r="W69" s="165"/>
      <c r="X69" s="165"/>
      <c r="Y69" s="264"/>
      <c r="Z69" s="264"/>
      <c r="AA69" s="245"/>
      <c r="AB69" s="331"/>
      <c r="AC69" s="165"/>
      <c r="AD69" s="165"/>
      <c r="AE69" s="264"/>
      <c r="AF69" s="264"/>
      <c r="AG69" s="264"/>
      <c r="AH69" s="33"/>
    </row>
    <row r="70" customFormat="false" ht="12.8" hidden="false" customHeight="false" outlineLevel="0" collapsed="false">
      <c r="B70" s="24"/>
      <c r="C70" s="50"/>
      <c r="D70" s="266"/>
      <c r="E70" s="263" t="s">
        <v>188</v>
      </c>
      <c r="F70" s="263"/>
      <c r="G70" s="263"/>
      <c r="H70" s="263"/>
      <c r="I70" s="263"/>
      <c r="J70" s="329"/>
      <c r="K70" s="330"/>
      <c r="L70" s="329"/>
      <c r="M70" s="330"/>
      <c r="N70" s="330"/>
      <c r="O70" s="329"/>
      <c r="P70" s="331"/>
      <c r="Q70" s="165"/>
      <c r="R70" s="165"/>
      <c r="S70" s="264"/>
      <c r="T70" s="264"/>
      <c r="U70" s="264"/>
      <c r="V70" s="331"/>
      <c r="W70" s="165"/>
      <c r="X70" s="165"/>
      <c r="Y70" s="264"/>
      <c r="Z70" s="264"/>
      <c r="AA70" s="245"/>
      <c r="AB70" s="331"/>
      <c r="AC70" s="165"/>
      <c r="AD70" s="165"/>
      <c r="AE70" s="264"/>
      <c r="AF70" s="264"/>
      <c r="AG70" s="264"/>
      <c r="AH70" s="33"/>
    </row>
    <row r="71" customFormat="false" ht="12.8" hidden="false" customHeight="false" outlineLevel="0" collapsed="false">
      <c r="B71" s="36"/>
      <c r="C71" s="37"/>
      <c r="D71" s="37"/>
      <c r="E71" s="38"/>
      <c r="F71" s="37"/>
      <c r="G71" s="37"/>
      <c r="H71" s="37"/>
      <c r="I71" s="37"/>
      <c r="J71" s="37"/>
      <c r="K71" s="37"/>
      <c r="L71" s="37"/>
      <c r="M71" s="37"/>
      <c r="N71" s="37"/>
      <c r="O71" s="37"/>
      <c r="P71" s="37"/>
      <c r="Q71" s="37"/>
      <c r="R71" s="37"/>
      <c r="S71" s="37"/>
      <c r="T71" s="37"/>
      <c r="U71" s="37"/>
      <c r="V71" s="332"/>
      <c r="W71" s="333"/>
      <c r="X71" s="333"/>
      <c r="Y71" s="37"/>
      <c r="Z71" s="37"/>
      <c r="AA71" s="37"/>
      <c r="AB71" s="37"/>
      <c r="AC71" s="37"/>
      <c r="AD71" s="37"/>
      <c r="AE71" s="37"/>
      <c r="AF71" s="37"/>
      <c r="AG71" s="37"/>
      <c r="AH71" s="40"/>
    </row>
    <row r="77" customFormat="false" ht="12.8" hidden="false" customHeight="false" outlineLevel="0" collapsed="false">
      <c r="W77" s="1"/>
    </row>
  </sheetData>
  <mergeCells count="13">
    <mergeCell ref="V2:AA2"/>
    <mergeCell ref="G3:I3"/>
    <mergeCell ref="J3:L3"/>
    <mergeCell ref="M3:O3"/>
    <mergeCell ref="P3:U3"/>
    <mergeCell ref="V3:AA3"/>
    <mergeCell ref="AB3:AG3"/>
    <mergeCell ref="S4:U4"/>
    <mergeCell ref="Y4:AA4"/>
    <mergeCell ref="AE4:AG4"/>
    <mergeCell ref="E68:I68"/>
    <mergeCell ref="E69:I69"/>
    <mergeCell ref="E70:I70"/>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landscape" blackAndWhite="false" draft="false" cellComments="none" horizontalDpi="300" verticalDpi="300" copies="1"/>
  <headerFooter differentFirst="false" differentOddEven="false">
    <oddHeader>&amp;C&amp;A</oddHeader>
    <oddFooter>&amp;CSeite &amp;P</oddFooter>
  </headerFooter>
</worksheet>
</file>

<file path=docProps/app.xml><?xml version="1.0" encoding="utf-8"?>
<Properties xmlns="http://schemas.openxmlformats.org/officeDocument/2006/extended-properties" xmlns:vt="http://schemas.openxmlformats.org/officeDocument/2006/docPropsVTypes">
  <Template/>
  <TotalTime>44090</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2009-07-23T14:16:02Z</dcterms:created>
  <dc:creator>Markus Graf</dc:creator>
  <dc:description/>
  <dc:language>en-US</dc:language>
  <cp:lastModifiedBy/>
  <dcterms:modified xsi:type="dcterms:W3CDTF">2025-03-11T11:48:34Z</dcterms:modified>
  <cp:revision>1220</cp:revision>
  <dc:subject/>
  <dc:title/>
</cp:coreProperties>
</file>

<file path=docProps/custom.xml><?xml version="1.0" encoding="utf-8"?>
<Properties xmlns="http://schemas.openxmlformats.org/officeDocument/2006/custom-properties" xmlns:vt="http://schemas.openxmlformats.org/officeDocument/2006/docPropsVTypes"/>
</file>