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uab-my.sharepoint.com/personal/1245366_uab_cat/Documents/Documentos/Work/7-Students/Falilu/Paper/Final_version/"/>
    </mc:Choice>
  </mc:AlternateContent>
  <xr:revisionPtr revIDLastSave="567" documentId="8_{414D295E-4047-403C-B8E1-CC2B8DACC096}" xr6:coauthVersionLast="47" xr6:coauthVersionMax="47" xr10:uidLastSave="{61293E8B-C203-44D8-9D98-13B9134D77EF}"/>
  <bookViews>
    <workbookView xWindow="-120" yWindow="-120" windowWidth="29040" windowHeight="15720" activeTab="7" xr2:uid="{0F606209-54CE-4B3D-BF7B-DC0749C99C8C}"/>
  </bookViews>
  <sheets>
    <sheet name="Captions" sheetId="12" r:id="rId1"/>
    <sheet name="TableS1" sheetId="6" r:id="rId2"/>
    <sheet name="TableS2" sheetId="7" r:id="rId3"/>
    <sheet name="TableS3" sheetId="8" r:id="rId4"/>
    <sheet name="TableS4" sheetId="9" r:id="rId5"/>
    <sheet name="Table S5" sheetId="13" r:id="rId6"/>
    <sheet name="Table S6" sheetId="10" r:id="rId7"/>
    <sheet name="Table S7" sheetId="11" r:id="rId8"/>
    <sheet name="Table S8" sheetId="14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" i="10" l="1"/>
  <c r="V80" i="10"/>
  <c r="V79" i="10"/>
  <c r="V78" i="10"/>
  <c r="V77" i="10"/>
  <c r="V76" i="10"/>
  <c r="V75" i="10"/>
  <c r="V74" i="10"/>
  <c r="V73" i="10"/>
  <c r="V72" i="10"/>
  <c r="V71" i="10"/>
  <c r="V70" i="10"/>
  <c r="V69" i="10"/>
  <c r="V68" i="10"/>
  <c r="V67" i="10"/>
  <c r="V66" i="10"/>
  <c r="V65" i="10"/>
  <c r="V64" i="10"/>
  <c r="V63" i="10"/>
  <c r="V62" i="10"/>
  <c r="V61" i="10"/>
  <c r="V60" i="10"/>
  <c r="V59" i="10"/>
  <c r="V58" i="10"/>
  <c r="V57" i="10"/>
  <c r="V56" i="10"/>
  <c r="V55" i="10"/>
  <c r="V54" i="10"/>
  <c r="V53" i="10"/>
  <c r="V52" i="10"/>
  <c r="V51" i="10"/>
  <c r="V50" i="10"/>
  <c r="V49" i="10"/>
  <c r="V48" i="10"/>
  <c r="V47" i="10"/>
  <c r="V46" i="10"/>
  <c r="V45" i="10"/>
  <c r="V44" i="10"/>
  <c r="V43" i="10"/>
  <c r="V42" i="10"/>
  <c r="V41" i="10"/>
  <c r="V40" i="10"/>
  <c r="V39" i="10"/>
  <c r="V38" i="10"/>
  <c r="V37" i="10"/>
  <c r="V36" i="10"/>
  <c r="V35" i="10"/>
  <c r="V34" i="10"/>
  <c r="V33" i="10"/>
  <c r="V32" i="10"/>
  <c r="V31" i="10"/>
  <c r="V30" i="10"/>
  <c r="V29" i="10"/>
  <c r="V28" i="10"/>
  <c r="V27" i="10"/>
  <c r="V26" i="10"/>
  <c r="V25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9" i="10"/>
  <c r="V8" i="10"/>
  <c r="V7" i="10"/>
  <c r="V6" i="10"/>
  <c r="V5" i="10"/>
  <c r="V4" i="10"/>
  <c r="V3" i="10"/>
  <c r="E46" i="9" l="1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2" i="8"/>
  <c r="O37" i="7"/>
  <c r="M37" i="7"/>
  <c r="J37" i="7"/>
  <c r="H37" i="7"/>
  <c r="E37" i="7"/>
  <c r="C37" i="7"/>
  <c r="O36" i="7"/>
  <c r="M36" i="7"/>
  <c r="J36" i="7"/>
  <c r="H36" i="7"/>
  <c r="E36" i="7"/>
  <c r="C36" i="7"/>
  <c r="O32" i="7"/>
  <c r="J32" i="7"/>
  <c r="O31" i="7"/>
  <c r="M31" i="7"/>
  <c r="J31" i="7"/>
  <c r="H31" i="7"/>
  <c r="E31" i="7"/>
  <c r="C31" i="7"/>
  <c r="O30" i="7"/>
  <c r="M30" i="7"/>
  <c r="O29" i="7"/>
  <c r="J29" i="7"/>
  <c r="O28" i="7"/>
  <c r="M28" i="7"/>
  <c r="J28" i="7"/>
  <c r="H28" i="7"/>
  <c r="C28" i="7"/>
  <c r="M27" i="7"/>
  <c r="H27" i="7"/>
  <c r="O25" i="7"/>
  <c r="M25" i="7"/>
  <c r="J25" i="7"/>
  <c r="H25" i="7"/>
  <c r="E25" i="7"/>
  <c r="O24" i="7"/>
  <c r="M24" i="7"/>
  <c r="J24" i="7"/>
  <c r="H24" i="7"/>
  <c r="E24" i="7"/>
  <c r="C24" i="7"/>
  <c r="O23" i="7"/>
  <c r="M23" i="7"/>
  <c r="H23" i="7"/>
  <c r="C23" i="7"/>
  <c r="O22" i="7"/>
  <c r="M22" i="7"/>
  <c r="J22" i="7"/>
  <c r="H22" i="7"/>
  <c r="E22" i="7"/>
  <c r="C22" i="7"/>
  <c r="O21" i="7"/>
  <c r="M21" i="7"/>
  <c r="J21" i="7"/>
  <c r="H21" i="7"/>
  <c r="E21" i="7"/>
  <c r="C21" i="7"/>
  <c r="O20" i="7"/>
  <c r="M20" i="7"/>
  <c r="J20" i="7"/>
  <c r="H20" i="7"/>
  <c r="E20" i="7"/>
  <c r="C20" i="7"/>
  <c r="O19" i="7"/>
  <c r="M19" i="7"/>
  <c r="J19" i="7"/>
  <c r="H19" i="7"/>
  <c r="E19" i="7"/>
  <c r="C19" i="7"/>
  <c r="O18" i="7"/>
  <c r="M18" i="7"/>
  <c r="J18" i="7"/>
  <c r="H18" i="7"/>
  <c r="E18" i="7"/>
  <c r="C18" i="7"/>
  <c r="O17" i="7"/>
  <c r="M17" i="7"/>
  <c r="J17" i="7"/>
  <c r="H17" i="7"/>
  <c r="E17" i="7"/>
  <c r="C17" i="7"/>
  <c r="O16" i="7"/>
  <c r="M16" i="7"/>
  <c r="J16" i="7"/>
  <c r="H16" i="7"/>
  <c r="E16" i="7"/>
  <c r="C16" i="7"/>
  <c r="O15" i="7"/>
  <c r="M15" i="7"/>
  <c r="J15" i="7"/>
  <c r="H15" i="7"/>
  <c r="E15" i="7"/>
  <c r="C15" i="7"/>
  <c r="O14" i="7"/>
  <c r="M14" i="7"/>
  <c r="J14" i="7"/>
  <c r="H14" i="7"/>
  <c r="E14" i="7"/>
  <c r="C14" i="7"/>
  <c r="O13" i="7"/>
  <c r="M13" i="7"/>
  <c r="J13" i="7"/>
  <c r="H13" i="7"/>
  <c r="E13" i="7"/>
  <c r="C13" i="7"/>
  <c r="O12" i="7"/>
  <c r="M12" i="7"/>
  <c r="J12" i="7"/>
  <c r="H12" i="7"/>
  <c r="E12" i="7"/>
  <c r="C12" i="7"/>
  <c r="O11" i="7"/>
  <c r="M11" i="7"/>
  <c r="J11" i="7"/>
  <c r="H11" i="7"/>
  <c r="E11" i="7"/>
  <c r="C11" i="7"/>
  <c r="O10" i="7"/>
  <c r="M10" i="7"/>
  <c r="J10" i="7"/>
  <c r="H10" i="7"/>
  <c r="E10" i="7"/>
  <c r="C10" i="7"/>
  <c r="O9" i="7"/>
  <c r="M9" i="7"/>
  <c r="J9" i="7"/>
  <c r="H9" i="7"/>
  <c r="E9" i="7"/>
  <c r="C9" i="7"/>
  <c r="O8" i="7"/>
  <c r="M8" i="7"/>
  <c r="J8" i="7"/>
  <c r="H8" i="7"/>
  <c r="E8" i="7"/>
  <c r="C8" i="7"/>
  <c r="O7" i="7"/>
  <c r="M7" i="7"/>
  <c r="J7" i="7"/>
  <c r="H7" i="7"/>
  <c r="E7" i="7"/>
  <c r="C7" i="7"/>
  <c r="O6" i="7"/>
  <c r="M6" i="7"/>
  <c r="J6" i="7"/>
  <c r="H6" i="7"/>
  <c r="E6" i="7"/>
  <c r="C6" i="7"/>
  <c r="O5" i="7"/>
  <c r="M5" i="7"/>
  <c r="J5" i="7"/>
  <c r="H5" i="7"/>
  <c r="E5" i="7"/>
  <c r="C5" i="7"/>
  <c r="O4" i="7"/>
  <c r="M4" i="7"/>
  <c r="J4" i="7"/>
  <c r="H4" i="7"/>
  <c r="E4" i="7"/>
  <c r="C4" i="7"/>
</calcChain>
</file>

<file path=xl/sharedStrings.xml><?xml version="1.0" encoding="utf-8"?>
<sst xmlns="http://schemas.openxmlformats.org/spreadsheetml/2006/main" count="1000" uniqueCount="190">
  <si>
    <t>Latitude</t>
  </si>
  <si>
    <t>Longitude</t>
  </si>
  <si>
    <t>All</t>
  </si>
  <si>
    <t>Dry</t>
  </si>
  <si>
    <t>Wet</t>
  </si>
  <si>
    <t>BLA</t>
  </si>
  <si>
    <t>LA</t>
  </si>
  <si>
    <t>LBW</t>
  </si>
  <si>
    <t>Parameter</t>
  </si>
  <si>
    <t>W</t>
  </si>
  <si>
    <t>p-value</t>
  </si>
  <si>
    <t>Temperature</t>
  </si>
  <si>
    <t>Yes</t>
  </si>
  <si>
    <t>Salinity</t>
  </si>
  <si>
    <t>G. oceanica</t>
  </si>
  <si>
    <t>No</t>
  </si>
  <si>
    <t>Total alkalinity</t>
  </si>
  <si>
    <t>DIC</t>
  </si>
  <si>
    <r>
      <t>p</t>
    </r>
    <r>
      <rPr>
        <sz val="11"/>
        <color theme="1"/>
        <rFont val="Aptos Narrow"/>
        <family val="2"/>
        <scheme val="minor"/>
      </rPr>
      <t>CO2</t>
    </r>
  </si>
  <si>
    <t>Silicate</t>
  </si>
  <si>
    <t>Total Alkalinity</t>
  </si>
  <si>
    <t>Phosphate</t>
  </si>
  <si>
    <t>Precipitations</t>
  </si>
  <si>
    <t>pH</t>
  </si>
  <si>
    <t>Nitrate</t>
  </si>
  <si>
    <t>Nitrite</t>
  </si>
  <si>
    <t>HCO₃⁻</t>
  </si>
  <si>
    <t>CO₃²⁻</t>
  </si>
  <si>
    <r>
      <rPr>
        <sz val="11"/>
        <color theme="1"/>
        <rFont val="Aptos Narrow"/>
        <family val="2"/>
      </rPr>
      <t>Ω</t>
    </r>
    <r>
      <rPr>
        <vertAlign val="subscript"/>
        <sz val="11"/>
        <color theme="1"/>
        <rFont val="Aptos Narrow"/>
        <family val="2"/>
      </rPr>
      <t>calcite</t>
    </r>
  </si>
  <si>
    <t>Total coccospheres</t>
  </si>
  <si>
    <r>
      <t>Ω</t>
    </r>
    <r>
      <rPr>
        <vertAlign val="subscript"/>
        <sz val="11"/>
        <color theme="1"/>
        <rFont val="Aptos Narrow"/>
        <family val="2"/>
      </rPr>
      <t>aragonite</t>
    </r>
  </si>
  <si>
    <t>E. huxleyi</t>
  </si>
  <si>
    <t>G. ericsonii</t>
  </si>
  <si>
    <t>C. rigidus</t>
  </si>
  <si>
    <t>U. hulburtiana</t>
  </si>
  <si>
    <t>Chlorophyll a</t>
  </si>
  <si>
    <t>S. histrica</t>
  </si>
  <si>
    <t>H. carteri</t>
  </si>
  <si>
    <t>D. tubifera</t>
  </si>
  <si>
    <t>C. corselii</t>
  </si>
  <si>
    <t>M. elegans</t>
  </si>
  <si>
    <t>S. tumularis</t>
  </si>
  <si>
    <r>
      <t>Syracosphaera</t>
    </r>
    <r>
      <rPr>
        <sz val="11"/>
        <color theme="1"/>
        <rFont val="Aptos Narrow"/>
        <family val="2"/>
        <scheme val="minor"/>
      </rPr>
      <t xml:space="preserve"> sp.</t>
    </r>
  </si>
  <si>
    <r>
      <t>Helicosphaera</t>
    </r>
    <r>
      <rPr>
        <sz val="11"/>
        <color theme="1"/>
        <rFont val="Aptos Narrow"/>
        <family val="2"/>
        <scheme val="minor"/>
      </rPr>
      <t xml:space="preserve"> sp.</t>
    </r>
  </si>
  <si>
    <t>–</t>
  </si>
  <si>
    <t>NA</t>
  </si>
  <si>
    <t>U. tenuis</t>
  </si>
  <si>
    <t>F. profunda</t>
  </si>
  <si>
    <t>Shannon index</t>
  </si>
  <si>
    <t>t-value</t>
  </si>
  <si>
    <t>Significant (p &lt; 0.05)</t>
  </si>
  <si>
    <r>
      <t>Ω</t>
    </r>
    <r>
      <rPr>
        <vertAlign val="subscript"/>
        <sz val="11"/>
        <color theme="1"/>
        <rFont val="Aptos Narrow"/>
        <family val="2"/>
        <scheme val="minor"/>
      </rPr>
      <t>calcite</t>
    </r>
  </si>
  <si>
    <r>
      <t>Ω</t>
    </r>
    <r>
      <rPr>
        <vertAlign val="subscript"/>
        <sz val="11"/>
        <color theme="1"/>
        <rFont val="Aptos Narrow"/>
        <family val="2"/>
        <scheme val="minor"/>
      </rPr>
      <t>aragonite</t>
    </r>
  </si>
  <si>
    <t>df</t>
  </si>
  <si>
    <t>Taxon</t>
  </si>
  <si>
    <t>Citation</t>
  </si>
  <si>
    <t>Calciopappus rigidus</t>
  </si>
  <si>
    <t>Gaarder &amp; Ramsfjell (1954)</t>
  </si>
  <si>
    <t>Calciosolenia corselii</t>
  </si>
  <si>
    <t>Malinverno (2004)</t>
  </si>
  <si>
    <t>Discosphaera tubifera</t>
  </si>
  <si>
    <t>Murray &amp; Blackman (1898), Ostenfeld (1900)</t>
  </si>
  <si>
    <r>
      <t>Emiliania huxleyi</t>
    </r>
    <r>
      <rPr>
        <sz val="10"/>
        <color theme="1"/>
        <rFont val="Aptos Narrow"/>
        <family val="2"/>
        <scheme val="minor"/>
      </rPr>
      <t xml:space="preserve"> type A</t>
    </r>
  </si>
  <si>
    <t>Lohmann (1902), Young &amp; Westbroek (1991)</t>
  </si>
  <si>
    <t>Florisphaera profunda</t>
  </si>
  <si>
    <t>Okada &amp; Honjo (1973)</t>
  </si>
  <si>
    <t>Gephyrocapsa ericsonii</t>
  </si>
  <si>
    <t>McIntyre &amp; Bé (1967)</t>
  </si>
  <si>
    <t>Gephyrocapsa oceanica</t>
  </si>
  <si>
    <t>Kamptner (1954)</t>
  </si>
  <si>
    <t>Helicosphaera carteri</t>
  </si>
  <si>
    <t>Wallich (1877)</t>
  </si>
  <si>
    <r>
      <t>Helicosphaera</t>
    </r>
    <r>
      <rPr>
        <sz val="10"/>
        <color theme="1"/>
        <rFont val="Aptos Narrow"/>
        <family val="2"/>
        <scheme val="minor"/>
      </rPr>
      <t xml:space="preserve"> sp.</t>
    </r>
  </si>
  <si>
    <t>Michaelsarsia elegans</t>
  </si>
  <si>
    <t>Gran (1912)</t>
  </si>
  <si>
    <t>Syracosphaera histrica</t>
  </si>
  <si>
    <t>Kamptner (1941)</t>
  </si>
  <si>
    <t>Syracosphaera tumularis</t>
  </si>
  <si>
    <t>Sánchez-Suárez (1990)</t>
  </si>
  <si>
    <r>
      <t>Syracosphaera</t>
    </r>
    <r>
      <rPr>
        <sz val="10"/>
        <color theme="1"/>
        <rFont val="Aptos Narrow"/>
        <family val="2"/>
        <scheme val="minor"/>
      </rPr>
      <t xml:space="preserve"> sp.</t>
    </r>
  </si>
  <si>
    <t>Lohmann (1902)</t>
  </si>
  <si>
    <r>
      <t>Umbellosphaera tenuis</t>
    </r>
    <r>
      <rPr>
        <sz val="10"/>
        <color theme="1"/>
        <rFont val="Aptos Narrow"/>
        <family val="2"/>
        <scheme val="minor"/>
      </rPr>
      <t xml:space="preserve"> type I</t>
    </r>
  </si>
  <si>
    <t>Kleijne (1993)</t>
  </si>
  <si>
    <t>Umbilicosphaera hulburtiana</t>
  </si>
  <si>
    <t>Gaarder (1970)</t>
  </si>
  <si>
    <t>Richness</t>
  </si>
  <si>
    <r>
      <t>pH</t>
    </r>
    <r>
      <rPr>
        <vertAlign val="subscript"/>
        <sz val="11"/>
        <color theme="1"/>
        <rFont val="Aptos Narrow"/>
        <family val="2"/>
        <scheme val="minor"/>
      </rPr>
      <t>T</t>
    </r>
  </si>
  <si>
    <r>
      <rPr>
        <i/>
        <sz val="11"/>
        <color theme="1"/>
        <rFont val="Aptos Narrow"/>
        <family val="2"/>
        <scheme val="minor"/>
      </rPr>
      <t>p</t>
    </r>
    <r>
      <rPr>
        <sz val="11"/>
        <color theme="1"/>
        <rFont val="Aptos Narrow"/>
        <family val="2"/>
        <scheme val="minor"/>
      </rPr>
      <t>CO</t>
    </r>
    <r>
      <rPr>
        <vertAlign val="subscript"/>
        <sz val="11"/>
        <color theme="1"/>
        <rFont val="Aptos Narrow"/>
        <family val="2"/>
        <scheme val="minor"/>
      </rPr>
      <t>2</t>
    </r>
  </si>
  <si>
    <t>Normality
(α=0.05)</t>
  </si>
  <si>
    <t>-</t>
  </si>
  <si>
    <t>Station</t>
  </si>
  <si>
    <t>NO3</t>
  </si>
  <si>
    <t>CO32</t>
  </si>
  <si>
    <t>Parameters</t>
  </si>
  <si>
    <r>
      <rPr>
        <i/>
        <sz val="11"/>
        <color theme="1"/>
        <rFont val="Aptos Narrow"/>
        <family val="2"/>
        <scheme val="minor"/>
      </rPr>
      <t>p</t>
    </r>
    <r>
      <rPr>
        <sz val="11"/>
        <color theme="1"/>
        <rFont val="Aptos Narrow"/>
        <family val="2"/>
        <scheme val="minor"/>
      </rPr>
      <t>CO</t>
    </r>
    <r>
      <rPr>
        <vertAlign val="subscript"/>
        <sz val="11"/>
        <color theme="1"/>
        <rFont val="Aptos Narrow"/>
        <family val="2"/>
        <scheme val="minor"/>
      </rPr>
      <t>2</t>
    </r>
  </si>
  <si>
    <t xml:space="preserve">Date </t>
  </si>
  <si>
    <t>Season</t>
  </si>
  <si>
    <t>Depth(m)</t>
  </si>
  <si>
    <r>
      <rPr>
        <i/>
        <sz val="11"/>
        <color theme="1"/>
        <rFont val="Aptos Narrow"/>
        <family val="2"/>
        <scheme val="minor"/>
      </rPr>
      <t>E. huxleyi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</si>
  <si>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G. oceanica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</si>
  <si>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G. ericsonii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</si>
  <si>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C. rigidus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</si>
  <si>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U. hulburtiana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</si>
  <si>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S. histrica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</si>
  <si>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H. cateri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</si>
  <si>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D. tubifera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</si>
  <si>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C. corselii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</si>
  <si>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M. elegans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</si>
  <si>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S. tumularis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</si>
  <si>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Syracosphaera</t>
    </r>
    <r>
      <rPr>
        <sz val="11"/>
        <color theme="1"/>
        <rFont val="Aptos Narrow"/>
        <family val="2"/>
        <scheme val="minor"/>
      </rPr>
      <t xml:space="preserve"> spp. (cells/l)</t>
    </r>
  </si>
  <si>
    <r>
      <rPr>
        <i/>
        <sz val="11"/>
        <color theme="1"/>
        <rFont val="Aptos Narrow"/>
        <family val="2"/>
        <scheme val="minor"/>
      </rPr>
      <t>Helicosphaera</t>
    </r>
    <r>
      <rPr>
        <sz val="11"/>
        <color theme="1"/>
        <rFont val="Aptos Narrow"/>
        <family val="2"/>
        <scheme val="minor"/>
      </rPr>
      <t xml:space="preserve"> spp. (cells/l)</t>
    </r>
  </si>
  <si>
    <r>
      <rPr>
        <i/>
        <sz val="11"/>
        <color theme="1"/>
        <rFont val="Aptos Narrow"/>
        <family val="2"/>
        <scheme val="minor"/>
      </rPr>
      <t>U. tenuis</t>
    </r>
    <r>
      <rPr>
        <sz val="11"/>
        <color theme="1"/>
        <rFont val="Aptos Narrow"/>
        <family val="2"/>
        <scheme val="minor"/>
      </rPr>
      <t xml:space="preserve"> (cells/l)</t>
    </r>
  </si>
  <si>
    <r>
      <rPr>
        <i/>
        <sz val="11"/>
        <color theme="1"/>
        <rFont val="Aptos Narrow"/>
        <family val="2"/>
        <scheme val="minor"/>
      </rPr>
      <t>F. profunda</t>
    </r>
    <r>
      <rPr>
        <sz val="11"/>
        <color theme="1"/>
        <rFont val="Aptos Narrow"/>
        <family val="2"/>
        <scheme val="minor"/>
      </rPr>
      <t xml:space="preserve"> (cells/l)</t>
    </r>
  </si>
  <si>
    <t>Coccospheres (cells/l)</t>
  </si>
  <si>
    <t>Date</t>
  </si>
  <si>
    <t>Depth (m)</t>
  </si>
  <si>
    <t>Temperature (ºC)</t>
  </si>
  <si>
    <r>
      <t>DIC (</t>
    </r>
    <r>
      <rPr>
        <sz val="11"/>
        <color theme="1"/>
        <rFont val="Aptos Narrow"/>
        <family val="2"/>
      </rPr>
      <t>µmol/kg)</t>
    </r>
  </si>
  <si>
    <t>Total Alkalinity (µmol/kg)</t>
  </si>
  <si>
    <t>HCO₃⁻ (µmol/kg)</t>
  </si>
  <si>
    <t>CO₃²⁻ (µmol/kg)</t>
  </si>
  <si>
    <t>Phosphate (µmol/kg)</t>
  </si>
  <si>
    <t>Nitrate (µmol/kg)</t>
  </si>
  <si>
    <t>Nitrite (µmol/kg)</t>
  </si>
  <si>
    <t>Silicate (µmol/kg)</t>
  </si>
  <si>
    <t>Precipitations (mm)</t>
  </si>
  <si>
    <r>
      <t>Chlorophyll a (mg/m</t>
    </r>
    <r>
      <rPr>
        <vertAlign val="superscript"/>
        <sz val="11"/>
        <color theme="1"/>
        <rFont val="Aptos Narrow"/>
        <family val="2"/>
        <scheme val="minor"/>
      </rPr>
      <t>3</t>
    </r>
    <r>
      <rPr>
        <sz val="11"/>
        <color theme="1"/>
        <rFont val="Aptos Narrow"/>
        <family val="2"/>
        <scheme val="minor"/>
      </rPr>
      <t>)</t>
    </r>
  </si>
  <si>
    <r>
      <t>p</t>
    </r>
    <r>
      <rPr>
        <sz val="11"/>
        <color theme="1"/>
        <rFont val="Aptos Narrow"/>
        <family val="2"/>
        <scheme val="minor"/>
      </rPr>
      <t>CO</t>
    </r>
    <r>
      <rPr>
        <vertAlign val="subscript"/>
        <sz val="11"/>
        <color theme="1"/>
        <rFont val="Aptos Narrow"/>
        <family val="2"/>
        <scheme val="minor"/>
      </rPr>
      <t>2</t>
    </r>
    <r>
      <rPr>
        <i/>
        <sz val="11"/>
        <color theme="1"/>
        <rFont val="Aptos Narrow"/>
        <family val="2"/>
        <scheme val="minor"/>
      </rPr>
      <t xml:space="preserve"> </t>
    </r>
    <r>
      <rPr>
        <sz val="11"/>
        <color theme="1"/>
        <rFont val="Aptos Narrow"/>
        <family val="2"/>
        <scheme val="minor"/>
      </rPr>
      <t>(</t>
    </r>
    <r>
      <rPr>
        <sz val="11"/>
        <color theme="1"/>
        <rFont val="Aptos Narrow"/>
        <family val="2"/>
      </rPr>
      <t>µatm)</t>
    </r>
  </si>
  <si>
    <t>Supplementary tables:</t>
  </si>
  <si>
    <t>Authors:</t>
  </si>
  <si>
    <t>Affiliation:</t>
  </si>
  <si>
    <t>Title:</t>
  </si>
  <si>
    <t>Wet and dry seasons modulate coastal coccolithophore dynamics off South-western Nigeria (Gulf of Guinea)</t>
  </si>
  <si>
    <r>
      <t>Falilu Adekunbi</t>
    </r>
    <r>
      <rPr>
        <vertAlign val="superscript"/>
        <sz val="11"/>
        <color theme="1"/>
        <rFont val="Aptos Narrow"/>
        <family val="2"/>
        <scheme val="minor"/>
      </rPr>
      <t>1,2,3</t>
    </r>
  </si>
  <si>
    <r>
      <t>Michaël Grelaud</t>
    </r>
    <r>
      <rPr>
        <vertAlign val="superscript"/>
        <sz val="11"/>
        <color theme="1"/>
        <rFont val="Aptos Narrow"/>
        <family val="2"/>
        <scheme val="minor"/>
      </rPr>
      <t>3*</t>
    </r>
  </si>
  <si>
    <r>
      <t>Gerald Langer</t>
    </r>
    <r>
      <rPr>
        <vertAlign val="superscript"/>
        <sz val="11"/>
        <color theme="1"/>
        <rFont val="Aptos Narrow"/>
        <family val="2"/>
        <scheme val="minor"/>
      </rPr>
      <t>3</t>
    </r>
  </si>
  <si>
    <r>
      <t>Lucian Chukwu</t>
    </r>
    <r>
      <rPr>
        <vertAlign val="superscript"/>
        <sz val="11"/>
        <color theme="1"/>
        <rFont val="Aptos Narrow"/>
        <family val="2"/>
        <scheme val="minor"/>
      </rPr>
      <t>1</t>
    </r>
  </si>
  <si>
    <r>
      <t>Marta Alvarez</t>
    </r>
    <r>
      <rPr>
        <vertAlign val="superscript"/>
        <sz val="11"/>
        <color theme="1"/>
        <rFont val="Aptos Narrow"/>
        <family val="2"/>
        <scheme val="minor"/>
      </rPr>
      <t>4</t>
    </r>
  </si>
  <si>
    <r>
      <t>Shakirudeen Odunuga</t>
    </r>
    <r>
      <rPr>
        <vertAlign val="superscript"/>
        <sz val="11"/>
        <color theme="1"/>
        <rFont val="Aptos Narrow"/>
        <family val="2"/>
        <scheme val="minor"/>
      </rPr>
      <t>5</t>
    </r>
  </si>
  <si>
    <r>
      <t>Kai Schulz</t>
    </r>
    <r>
      <rPr>
        <vertAlign val="superscript"/>
        <sz val="11"/>
        <color theme="1"/>
        <rFont val="Aptos Narrow"/>
        <family val="2"/>
        <scheme val="minor"/>
      </rPr>
      <t>6</t>
    </r>
  </si>
  <si>
    <r>
      <t>Patrizia Ziveri</t>
    </r>
    <r>
      <rPr>
        <vertAlign val="superscript"/>
        <sz val="11"/>
        <color theme="1"/>
        <rFont val="Aptos Narrow"/>
        <family val="2"/>
        <scheme val="minor"/>
      </rPr>
      <t>3, 7, 8</t>
    </r>
  </si>
  <si>
    <t>Corresponding author:</t>
  </si>
  <si>
    <t>michael.grelaud@uab.cat</t>
  </si>
  <si>
    <t>Table S1: Taxonomic list of coccolithophores observed at the station BLA, LA and LBW during the investigated period (December 2018- April 2021).</t>
  </si>
  <si>
    <r>
      <t xml:space="preserve">1 </t>
    </r>
    <r>
      <rPr>
        <sz val="11"/>
        <color rgb="FF222222"/>
        <rFont val="Aptos Narrow"/>
        <family val="2"/>
        <scheme val="minor"/>
      </rPr>
      <t>Department of Marine Sciences, Faculty of Science, University of Lagos (UNILAG), Lagos, Nigeria</t>
    </r>
  </si>
  <si>
    <r>
      <t xml:space="preserve">2 </t>
    </r>
    <r>
      <rPr>
        <sz val="11"/>
        <color rgb="FF222222"/>
        <rFont val="Aptos Narrow"/>
        <family val="2"/>
        <scheme val="minor"/>
      </rPr>
      <t>Nigerian Institute for Oceanography and Marine Research, (NIOMR) Lagos, Nigeria</t>
    </r>
  </si>
  <si>
    <r>
      <t xml:space="preserve">3 </t>
    </r>
    <r>
      <rPr>
        <sz val="11"/>
        <color rgb="FF222222"/>
        <rFont val="Aptos Narrow"/>
        <family val="2"/>
        <scheme val="minor"/>
      </rPr>
      <t>Institut de Ciència i Tecnologia Ambientals (ICTA-UAB), Universitat Autònoma de Barcelona, Barcelona, Spain</t>
    </r>
  </si>
  <si>
    <r>
      <t xml:space="preserve">4 </t>
    </r>
    <r>
      <rPr>
        <sz val="11"/>
        <color rgb="FF222222"/>
        <rFont val="Aptos Narrow"/>
        <family val="2"/>
        <scheme val="minor"/>
      </rPr>
      <t>Instituto Español de Oceanografía (IEO-CSIC), A Coruña, Spain</t>
    </r>
  </si>
  <si>
    <r>
      <t xml:space="preserve">5 </t>
    </r>
    <r>
      <rPr>
        <sz val="11"/>
        <color rgb="FF222222"/>
        <rFont val="Aptos Narrow"/>
        <family val="2"/>
        <scheme val="minor"/>
      </rPr>
      <t>Department of Geography, Faculty of Social Sciences, University of Lagos (UNILAG), Lagos, Nigeria</t>
    </r>
  </si>
  <si>
    <r>
      <t>6</t>
    </r>
    <r>
      <rPr>
        <sz val="11"/>
        <color theme="1"/>
        <rFont val="Aptos Narrow"/>
        <family val="2"/>
        <scheme val="minor"/>
      </rPr>
      <t>Centre for Coastal Biogeochemistry, School of Environment Science and Engineering, Southern Cross University, Lismore, NSW 2480, Australia</t>
    </r>
  </si>
  <si>
    <r>
      <t>7</t>
    </r>
    <r>
      <rPr>
        <sz val="11"/>
        <color rgb="FF222222"/>
        <rFont val="Aptos Narrow"/>
        <family val="2"/>
        <scheme val="minor"/>
      </rPr>
      <t>Catalan Institution for Research and Advanced Studies (ICREA), Barcelona, Spain</t>
    </r>
  </si>
  <si>
    <r>
      <t xml:space="preserve">8 </t>
    </r>
    <r>
      <rPr>
        <sz val="11"/>
        <color rgb="FF222222"/>
        <rFont val="Aptos Narrow"/>
        <family val="2"/>
        <scheme val="minor"/>
      </rPr>
      <t>BABVE Dept.</t>
    </r>
    <r>
      <rPr>
        <vertAlign val="superscript"/>
        <sz val="11"/>
        <color rgb="FF222222"/>
        <rFont val="Aptos Narrow"/>
        <family val="2"/>
        <scheme val="minor"/>
      </rPr>
      <t xml:space="preserve"> ,</t>
    </r>
    <r>
      <rPr>
        <sz val="11"/>
        <color rgb="FF222222"/>
        <rFont val="Aptos Narrow"/>
        <family val="2"/>
        <scheme val="minor"/>
      </rPr>
      <t>Universitat Autònoma de Barcelona, Barcelona, (ICTA-UAB), Spain</t>
    </r>
  </si>
  <si>
    <r>
      <t xml:space="preserve">Table S2: Results of the Shapiro-Wilk normality tests for the environmental parameters and the coccolithophore community during both the dry and wet seasons. Bold </t>
    </r>
    <r>
      <rPr>
        <i/>
        <sz val="11"/>
        <color theme="1"/>
        <rFont val="Calibri"/>
        <family val="2"/>
      </rPr>
      <t>p</t>
    </r>
    <r>
      <rPr>
        <sz val="11"/>
        <color theme="1"/>
        <rFont val="Calibri"/>
        <family val="2"/>
      </rPr>
      <t>-values show normal distribution.</t>
    </r>
  </si>
  <si>
    <t>Table S3: Results of the Welch’s two samples t-test, when normality was meet for the environmental parameter for both the dry and wet seasons.</t>
  </si>
  <si>
    <t>Table S4: Results of the Wilcoxon rank-sum test, when normality was not meet for the environmental parameters of the coccolithophore community for at least one season.</t>
  </si>
  <si>
    <t>Table S5: Results of the Spearman correlations for the whole dataset as well as for the dry and wet seasons. (*) p-value &lt; 0.05; (**) p-value &lt; 0.01; (***) p-value &lt; 0.001</t>
  </si>
  <si>
    <t>Table S6: Coccolithophore standing stocks dataset</t>
  </si>
  <si>
    <t>Table S7: Environmental parameters dataset</t>
  </si>
  <si>
    <t>0.3*</t>
  </si>
  <si>
    <t>0.46**</t>
  </si>
  <si>
    <t>-0.27*</t>
  </si>
  <si>
    <t>-0.28*</t>
  </si>
  <si>
    <t>0.34**</t>
  </si>
  <si>
    <t>0.36*</t>
  </si>
  <si>
    <t>0.33**</t>
  </si>
  <si>
    <t>0.27*</t>
  </si>
  <si>
    <t>0.25*</t>
  </si>
  <si>
    <t>-0.31*</t>
  </si>
  <si>
    <t>0.57***</t>
  </si>
  <si>
    <t>-0.53**</t>
  </si>
  <si>
    <t>-0.49**</t>
  </si>
  <si>
    <t>-0.45**</t>
  </si>
  <si>
    <t>-0.63***</t>
  </si>
  <si>
    <t>-0.38*</t>
  </si>
  <si>
    <t>Mediterranean Sea</t>
  </si>
  <si>
    <t>North Atlantic Ocean</t>
  </si>
  <si>
    <t>North Sea</t>
  </si>
  <si>
    <t>White Sea</t>
  </si>
  <si>
    <t>Arabian Sea</t>
  </si>
  <si>
    <t>North Pacific Ocean</t>
  </si>
  <si>
    <t>South Pacific Ocean</t>
  </si>
  <si>
    <t>Norwegian Sea</t>
  </si>
  <si>
    <t>Japan Sea</t>
  </si>
  <si>
    <t>South Atlantic Ocean</t>
  </si>
  <si>
    <t>Standing stocks (cells/L)</t>
  </si>
  <si>
    <t>Standard deviation</t>
  </si>
  <si>
    <t>Table S8: Average coccolithophore standing stocks global coastal areas</t>
  </si>
  <si>
    <t>Gulf of Guinea</t>
  </si>
  <si>
    <t>Barents Sea</t>
  </si>
  <si>
    <t>Oceanographic basin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</si>
</sst>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vertAlign val="subscript"/>
      <sz val="11"/>
      <color theme="1"/>
      <name val="Aptos Narrow"/>
      <family val="2"/>
    </font>
    <font>
      <i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u/>
      <sz val="11"/>
      <color theme="10"/>
      <name val="Aptos Narrow"/>
      <family val="2"/>
      <scheme val="minor"/>
    </font>
    <font>
      <sz val="11"/>
      <color rgb="FF222222"/>
      <name val="Aptos Narrow"/>
      <family val="2"/>
      <scheme val="minor"/>
    </font>
    <font>
      <vertAlign val="superscript"/>
      <sz val="11"/>
      <color rgb="FF222222"/>
      <name val="Aptos Narrow"/>
      <family val="2"/>
      <scheme val="minor"/>
    </font>
    <font>
      <i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8">
    <xf numFmtId="0" fontId="0" fillId="0" borderId="0" xfId="0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64" fontId="8" fillId="0" borderId="5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" xfId="0" applyBorder="1"/>
    <xf numFmtId="0" fontId="0" fillId="0" borderId="13" xfId="0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8" fillId="0" borderId="11" xfId="0" applyNumberFormat="1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vertical="center" wrapText="1"/>
    </xf>
    <xf numFmtId="164" fontId="0" fillId="0" borderId="11" xfId="0" applyNumberFormat="1" applyBorder="1" applyAlignment="1">
      <alignment vertical="center" wrapText="1"/>
    </xf>
    <xf numFmtId="164" fontId="1" fillId="0" borderId="12" xfId="0" applyNumberFormat="1" applyFont="1" applyBorder="1" applyAlignment="1">
      <alignment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/>
    </xf>
    <xf numFmtId="164" fontId="8" fillId="0" borderId="12" xfId="0" applyNumberFormat="1" applyFont="1" applyBorder="1" applyAlignment="1">
      <alignment horizontal="center" vertical="center"/>
    </xf>
    <xf numFmtId="0" fontId="0" fillId="0" borderId="12" xfId="0" applyBorder="1"/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165" fontId="8" fillId="0" borderId="9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8" fillId="0" borderId="10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165" fontId="0" fillId="0" borderId="10" xfId="0" applyNumberFormat="1" applyBorder="1" applyAlignment="1">
      <alignment vertical="center" wrapText="1"/>
    </xf>
    <xf numFmtId="164" fontId="1" fillId="0" borderId="10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165" fontId="0" fillId="0" borderId="11" xfId="0" applyNumberForma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65" fontId="0" fillId="0" borderId="12" xfId="0" applyNumberForma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textRotation="90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12" fillId="0" borderId="0" xfId="0" applyFont="1" applyAlignment="1">
      <alignment vertical="center"/>
    </xf>
    <xf numFmtId="0" fontId="0" fillId="0" borderId="0" xfId="0" applyAlignment="1">
      <alignment horizontal="right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chael.grelaud@uab.cat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F777C-6091-40DC-B58C-330278D12D5F}">
  <dimension ref="A1:B26"/>
  <sheetViews>
    <sheetView workbookViewId="0">
      <selection activeCell="B27" sqref="B27"/>
    </sheetView>
  </sheetViews>
  <sheetFormatPr defaultRowHeight="15" x14ac:dyDescent="0.25"/>
  <cols>
    <col min="1" max="1" width="20.85546875" style="80" bestFit="1" customWidth="1"/>
  </cols>
  <sheetData>
    <row r="1" spans="1:2" x14ac:dyDescent="0.25">
      <c r="A1" s="80" t="s">
        <v>131</v>
      </c>
      <c r="B1" t="s">
        <v>132</v>
      </c>
    </row>
    <row r="2" spans="1:2" ht="16.5" x14ac:dyDescent="0.25">
      <c r="A2" s="80" t="s">
        <v>129</v>
      </c>
      <c r="B2" t="s">
        <v>133</v>
      </c>
    </row>
    <row r="3" spans="1:2" ht="16.5" x14ac:dyDescent="0.25">
      <c r="B3" t="s">
        <v>134</v>
      </c>
    </row>
    <row r="4" spans="1:2" ht="16.5" x14ac:dyDescent="0.25">
      <c r="B4" t="s">
        <v>135</v>
      </c>
    </row>
    <row r="5" spans="1:2" ht="16.5" x14ac:dyDescent="0.25">
      <c r="B5" t="s">
        <v>136</v>
      </c>
    </row>
    <row r="6" spans="1:2" ht="16.5" x14ac:dyDescent="0.25">
      <c r="B6" t="s">
        <v>137</v>
      </c>
    </row>
    <row r="7" spans="1:2" ht="16.5" x14ac:dyDescent="0.25">
      <c r="B7" t="s">
        <v>138</v>
      </c>
    </row>
    <row r="8" spans="1:2" ht="16.5" x14ac:dyDescent="0.25">
      <c r="B8" t="s">
        <v>139</v>
      </c>
    </row>
    <row r="9" spans="1:2" ht="16.5" x14ac:dyDescent="0.25">
      <c r="B9" t="s">
        <v>140</v>
      </c>
    </row>
    <row r="10" spans="1:2" ht="16.5" x14ac:dyDescent="0.25">
      <c r="A10" s="80" t="s">
        <v>130</v>
      </c>
      <c r="B10" s="81" t="s">
        <v>144</v>
      </c>
    </row>
    <row r="11" spans="1:2" ht="16.5" x14ac:dyDescent="0.25">
      <c r="B11" s="81" t="s">
        <v>145</v>
      </c>
    </row>
    <row r="12" spans="1:2" ht="16.5" x14ac:dyDescent="0.25">
      <c r="B12" s="81" t="s">
        <v>146</v>
      </c>
    </row>
    <row r="13" spans="1:2" ht="16.5" x14ac:dyDescent="0.25">
      <c r="B13" s="81" t="s">
        <v>147</v>
      </c>
    </row>
    <row r="14" spans="1:2" ht="16.5" x14ac:dyDescent="0.25">
      <c r="B14" s="81" t="s">
        <v>148</v>
      </c>
    </row>
    <row r="15" spans="1:2" ht="16.5" x14ac:dyDescent="0.25">
      <c r="B15" s="82" t="s">
        <v>149</v>
      </c>
    </row>
    <row r="16" spans="1:2" ht="16.5" x14ac:dyDescent="0.25">
      <c r="B16" s="81" t="s">
        <v>150</v>
      </c>
    </row>
    <row r="17" spans="1:2" ht="16.5" x14ac:dyDescent="0.25">
      <c r="B17" s="81" t="s">
        <v>151</v>
      </c>
    </row>
    <row r="18" spans="1:2" x14ac:dyDescent="0.25">
      <c r="A18" s="80" t="s">
        <v>141</v>
      </c>
      <c r="B18" s="83" t="s">
        <v>142</v>
      </c>
    </row>
    <row r="19" spans="1:2" x14ac:dyDescent="0.25">
      <c r="A19" s="80" t="s">
        <v>128</v>
      </c>
      <c r="B19" s="79" t="s">
        <v>143</v>
      </c>
    </row>
    <row r="20" spans="1:2" x14ac:dyDescent="0.25">
      <c r="B20" s="84" t="s">
        <v>152</v>
      </c>
    </row>
    <row r="21" spans="1:2" x14ac:dyDescent="0.25">
      <c r="B21" s="84" t="s">
        <v>153</v>
      </c>
    </row>
    <row r="22" spans="1:2" x14ac:dyDescent="0.25">
      <c r="B22" s="85" t="s">
        <v>154</v>
      </c>
    </row>
    <row r="23" spans="1:2" x14ac:dyDescent="0.25">
      <c r="B23" s="85" t="s">
        <v>155</v>
      </c>
    </row>
    <row r="24" spans="1:2" x14ac:dyDescent="0.25">
      <c r="B24" t="s">
        <v>156</v>
      </c>
    </row>
    <row r="25" spans="1:2" x14ac:dyDescent="0.25">
      <c r="B25" t="s">
        <v>157</v>
      </c>
    </row>
    <row r="26" spans="1:2" x14ac:dyDescent="0.25">
      <c r="B26" t="s">
        <v>186</v>
      </c>
    </row>
  </sheetData>
  <hyperlinks>
    <hyperlink ref="B18" r:id="rId1" xr:uid="{62E59475-D047-491D-ACF4-B0750DA218E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33A79-E022-40B3-9544-292E8FDE654D}">
  <dimension ref="A1:B16"/>
  <sheetViews>
    <sheetView workbookViewId="0">
      <selection activeCell="B23" sqref="B23"/>
    </sheetView>
  </sheetViews>
  <sheetFormatPr defaultRowHeight="15" x14ac:dyDescent="0.25"/>
  <cols>
    <col min="1" max="1" width="23.7109375" bestFit="1" customWidth="1"/>
    <col min="2" max="2" width="36.42578125" customWidth="1"/>
  </cols>
  <sheetData>
    <row r="1" spans="1:2" x14ac:dyDescent="0.25">
      <c r="A1" s="1" t="s">
        <v>54</v>
      </c>
      <c r="B1" s="1" t="s">
        <v>55</v>
      </c>
    </row>
    <row r="2" spans="1:2" x14ac:dyDescent="0.25">
      <c r="A2" s="2" t="s">
        <v>56</v>
      </c>
      <c r="B2" s="1" t="s">
        <v>57</v>
      </c>
    </row>
    <row r="3" spans="1:2" x14ac:dyDescent="0.25">
      <c r="A3" s="2" t="s">
        <v>58</v>
      </c>
      <c r="B3" s="1" t="s">
        <v>59</v>
      </c>
    </row>
    <row r="4" spans="1:2" x14ac:dyDescent="0.25">
      <c r="A4" s="2" t="s">
        <v>60</v>
      </c>
      <c r="B4" s="1" t="s">
        <v>61</v>
      </c>
    </row>
    <row r="5" spans="1:2" x14ac:dyDescent="0.25">
      <c r="A5" s="2" t="s">
        <v>62</v>
      </c>
      <c r="B5" s="1" t="s">
        <v>63</v>
      </c>
    </row>
    <row r="6" spans="1:2" x14ac:dyDescent="0.25">
      <c r="A6" s="2" t="s">
        <v>64</v>
      </c>
      <c r="B6" s="1" t="s">
        <v>65</v>
      </c>
    </row>
    <row r="7" spans="1:2" x14ac:dyDescent="0.25">
      <c r="A7" s="2" t="s">
        <v>66</v>
      </c>
      <c r="B7" s="1" t="s">
        <v>67</v>
      </c>
    </row>
    <row r="8" spans="1:2" x14ac:dyDescent="0.25">
      <c r="A8" s="2" t="s">
        <v>68</v>
      </c>
      <c r="B8" s="1" t="s">
        <v>69</v>
      </c>
    </row>
    <row r="9" spans="1:2" x14ac:dyDescent="0.25">
      <c r="A9" s="2" t="s">
        <v>70</v>
      </c>
      <c r="B9" s="1" t="s">
        <v>71</v>
      </c>
    </row>
    <row r="10" spans="1:2" x14ac:dyDescent="0.25">
      <c r="A10" s="2" t="s">
        <v>72</v>
      </c>
      <c r="B10" s="1" t="s">
        <v>69</v>
      </c>
    </row>
    <row r="11" spans="1:2" x14ac:dyDescent="0.25">
      <c r="A11" s="2" t="s">
        <v>73</v>
      </c>
      <c r="B11" s="1" t="s">
        <v>74</v>
      </c>
    </row>
    <row r="12" spans="1:2" x14ac:dyDescent="0.25">
      <c r="A12" s="2" t="s">
        <v>75</v>
      </c>
      <c r="B12" s="1" t="s">
        <v>76</v>
      </c>
    </row>
    <row r="13" spans="1:2" x14ac:dyDescent="0.25">
      <c r="A13" s="2" t="s">
        <v>77</v>
      </c>
      <c r="B13" s="1" t="s">
        <v>78</v>
      </c>
    </row>
    <row r="14" spans="1:2" x14ac:dyDescent="0.25">
      <c r="A14" s="2" t="s">
        <v>79</v>
      </c>
      <c r="B14" s="1" t="s">
        <v>80</v>
      </c>
    </row>
    <row r="15" spans="1:2" x14ac:dyDescent="0.25">
      <c r="A15" s="2" t="s">
        <v>81</v>
      </c>
      <c r="B15" s="1" t="s">
        <v>82</v>
      </c>
    </row>
    <row r="16" spans="1:2" x14ac:dyDescent="0.25">
      <c r="A16" s="2" t="s">
        <v>83</v>
      </c>
      <c r="B16" s="1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C66C4-58B1-4044-B152-7A57075306B9}">
  <dimension ref="A1:U37"/>
  <sheetViews>
    <sheetView zoomScale="85" zoomScaleNormal="85" workbookViewId="0">
      <selection activeCell="D18" sqref="D18"/>
    </sheetView>
  </sheetViews>
  <sheetFormatPr defaultRowHeight="15" x14ac:dyDescent="0.25"/>
  <cols>
    <col min="1" max="1" width="18.42578125" bestFit="1" customWidth="1"/>
  </cols>
  <sheetData>
    <row r="1" spans="1:21" x14ac:dyDescent="0.25">
      <c r="B1" s="101" t="s">
        <v>7</v>
      </c>
      <c r="C1" s="102"/>
      <c r="D1" s="102"/>
      <c r="E1" s="102"/>
      <c r="F1" s="103"/>
      <c r="G1" s="101" t="s">
        <v>6</v>
      </c>
      <c r="H1" s="102"/>
      <c r="I1" s="102"/>
      <c r="J1" s="102"/>
      <c r="K1" s="103"/>
      <c r="L1" s="101" t="s">
        <v>5</v>
      </c>
      <c r="M1" s="102"/>
      <c r="N1" s="102"/>
      <c r="O1" s="102"/>
      <c r="P1" s="103"/>
      <c r="Q1" s="101" t="s">
        <v>2</v>
      </c>
      <c r="R1" s="102"/>
      <c r="S1" s="102"/>
      <c r="T1" s="102"/>
      <c r="U1" s="103"/>
    </row>
    <row r="2" spans="1:21" x14ac:dyDescent="0.25">
      <c r="B2" s="106" t="s">
        <v>3</v>
      </c>
      <c r="C2" s="107"/>
      <c r="D2" s="108" t="s">
        <v>4</v>
      </c>
      <c r="E2" s="110"/>
      <c r="F2" s="104" t="s">
        <v>88</v>
      </c>
      <c r="G2" s="106" t="s">
        <v>3</v>
      </c>
      <c r="H2" s="107"/>
      <c r="I2" s="106" t="s">
        <v>4</v>
      </c>
      <c r="J2" s="107"/>
      <c r="K2" s="104" t="s">
        <v>88</v>
      </c>
      <c r="L2" s="106" t="s">
        <v>3</v>
      </c>
      <c r="M2" s="107"/>
      <c r="N2" s="106" t="s">
        <v>4</v>
      </c>
      <c r="O2" s="111"/>
      <c r="P2" s="104" t="s">
        <v>88</v>
      </c>
      <c r="Q2" s="106" t="s">
        <v>3</v>
      </c>
      <c r="R2" s="107"/>
      <c r="S2" s="108" t="s">
        <v>4</v>
      </c>
      <c r="T2" s="109"/>
      <c r="U2" s="104" t="s">
        <v>88</v>
      </c>
    </row>
    <row r="3" spans="1:21" x14ac:dyDescent="0.25">
      <c r="A3" s="13" t="s">
        <v>8</v>
      </c>
      <c r="B3" s="14" t="s">
        <v>9</v>
      </c>
      <c r="C3" s="15" t="s">
        <v>10</v>
      </c>
      <c r="D3" s="14" t="s">
        <v>9</v>
      </c>
      <c r="E3" s="15" t="s">
        <v>10</v>
      </c>
      <c r="F3" s="105"/>
      <c r="G3" s="14" t="s">
        <v>9</v>
      </c>
      <c r="H3" s="15" t="s">
        <v>10</v>
      </c>
      <c r="I3" s="14" t="s">
        <v>9</v>
      </c>
      <c r="J3" s="15" t="s">
        <v>10</v>
      </c>
      <c r="K3" s="105"/>
      <c r="L3" s="14" t="s">
        <v>9</v>
      </c>
      <c r="M3" s="15" t="s">
        <v>10</v>
      </c>
      <c r="N3" s="14" t="s">
        <v>9</v>
      </c>
      <c r="O3" s="19" t="s">
        <v>10</v>
      </c>
      <c r="P3" s="105"/>
      <c r="Q3" s="14" t="s">
        <v>9</v>
      </c>
      <c r="R3" s="15" t="s">
        <v>10</v>
      </c>
      <c r="S3" s="14" t="s">
        <v>9</v>
      </c>
      <c r="T3" s="19" t="s">
        <v>10</v>
      </c>
      <c r="U3" s="105"/>
    </row>
    <row r="4" spans="1:21" x14ac:dyDescent="0.25">
      <c r="A4" s="9" t="s">
        <v>11</v>
      </c>
      <c r="B4" s="3">
        <v>0.79903999999999997</v>
      </c>
      <c r="C4" s="16">
        <f xml:space="preserve"> 0.009136</f>
        <v>9.136E-3</v>
      </c>
      <c r="D4" s="3">
        <v>0.79996</v>
      </c>
      <c r="E4" s="16">
        <f xml:space="preserve"> 0.0286</f>
        <v>2.86E-2</v>
      </c>
      <c r="F4" s="5" t="s">
        <v>15</v>
      </c>
      <c r="G4" s="3">
        <v>0.94027000000000005</v>
      </c>
      <c r="H4" s="27">
        <f xml:space="preserve"> 0.3215</f>
        <v>0.32150000000000001</v>
      </c>
      <c r="I4" s="3">
        <v>0.95221999999999996</v>
      </c>
      <c r="J4" s="27">
        <f xml:space="preserve"> 0.6724</f>
        <v>0.6724</v>
      </c>
      <c r="K4" s="29" t="s">
        <v>12</v>
      </c>
      <c r="L4" s="3">
        <v>0.95021</v>
      </c>
      <c r="M4" s="27">
        <f xml:space="preserve"> 0.4599</f>
        <v>0.45989999999999998</v>
      </c>
      <c r="N4" s="3">
        <v>0.90508999999999995</v>
      </c>
      <c r="O4" s="29">
        <f xml:space="preserve"> 0.1139</f>
        <v>0.1139</v>
      </c>
      <c r="P4" s="27" t="s">
        <v>12</v>
      </c>
      <c r="Q4" s="36">
        <v>0.95718999999999999</v>
      </c>
      <c r="R4" s="37">
        <v>0.16439999999999999</v>
      </c>
      <c r="S4" s="38">
        <v>0.93979000000000001</v>
      </c>
      <c r="T4" s="37">
        <v>6.0760000000000002E-2</v>
      </c>
      <c r="U4" s="39" t="s">
        <v>12</v>
      </c>
    </row>
    <row r="5" spans="1:21" x14ac:dyDescent="0.25">
      <c r="A5" s="9" t="s">
        <v>13</v>
      </c>
      <c r="B5" s="3">
        <v>0.77583000000000002</v>
      </c>
      <c r="C5" s="16">
        <f xml:space="preserve"> 0.004527</f>
        <v>4.5269999999999998E-3</v>
      </c>
      <c r="D5" s="3">
        <v>0.70125999999999999</v>
      </c>
      <c r="E5" s="16">
        <f xml:space="preserve"> 0.002328</f>
        <v>2.3280000000000002E-3</v>
      </c>
      <c r="F5" s="5" t="s">
        <v>15</v>
      </c>
      <c r="G5" s="3">
        <v>0.96489999999999998</v>
      </c>
      <c r="H5" s="27">
        <f xml:space="preserve"> 0.7245</f>
        <v>0.72450000000000003</v>
      </c>
      <c r="I5" s="3">
        <v>0.93654999999999999</v>
      </c>
      <c r="J5" s="27">
        <f xml:space="preserve"> 0.4809</f>
        <v>0.48089999999999999</v>
      </c>
      <c r="K5" s="29" t="s">
        <v>12</v>
      </c>
      <c r="L5" s="3">
        <v>0.81318999999999997</v>
      </c>
      <c r="M5" s="16">
        <f xml:space="preserve"> 0.003095</f>
        <v>3.0950000000000001E-3</v>
      </c>
      <c r="N5" s="3">
        <v>0.86326000000000003</v>
      </c>
      <c r="O5" s="5">
        <f xml:space="preserve"> 0.0269</f>
        <v>2.69E-2</v>
      </c>
      <c r="P5" s="16" t="s">
        <v>15</v>
      </c>
      <c r="Q5" s="36">
        <v>0.95777999999999996</v>
      </c>
      <c r="R5" s="37">
        <v>0.17169999999999999</v>
      </c>
      <c r="S5" s="38">
        <v>0.93638999999999994</v>
      </c>
      <c r="T5" s="38">
        <v>4.8169999999999998E-2</v>
      </c>
      <c r="U5" s="40" t="s">
        <v>15</v>
      </c>
    </row>
    <row r="6" spans="1:21" x14ac:dyDescent="0.25">
      <c r="A6" s="9" t="s">
        <v>17</v>
      </c>
      <c r="B6" s="3">
        <v>0.93925999999999998</v>
      </c>
      <c r="C6" s="27">
        <f xml:space="preserve"> 0.5118</f>
        <v>0.51180000000000003</v>
      </c>
      <c r="D6" s="3">
        <v>0.93905000000000005</v>
      </c>
      <c r="E6" s="27">
        <f xml:space="preserve"> 0.6018</f>
        <v>0.6018</v>
      </c>
      <c r="F6" s="29" t="s">
        <v>12</v>
      </c>
      <c r="G6" s="3">
        <v>0.91537999999999997</v>
      </c>
      <c r="H6" s="27">
        <f xml:space="preserve"> 0.1233</f>
        <v>0.12330000000000001</v>
      </c>
      <c r="I6" s="3">
        <v>0.92522000000000004</v>
      </c>
      <c r="J6" s="27">
        <f xml:space="preserve"> 0.3646</f>
        <v>0.36459999999999998</v>
      </c>
      <c r="K6" s="29" t="s">
        <v>12</v>
      </c>
      <c r="L6" s="3">
        <v>0.95296000000000003</v>
      </c>
      <c r="M6" s="27">
        <f xml:space="preserve"> 0.5723</f>
        <v>0.57230000000000003</v>
      </c>
      <c r="N6" s="3">
        <v>0.97472999999999999</v>
      </c>
      <c r="O6" s="29">
        <f xml:space="preserve"> 0.9436</f>
        <v>0.94359999999999999</v>
      </c>
      <c r="P6" s="27" t="s">
        <v>12</v>
      </c>
      <c r="Q6" s="36">
        <v>0.96721000000000001</v>
      </c>
      <c r="R6" s="37">
        <v>0.33800000000000002</v>
      </c>
      <c r="S6" s="38">
        <v>0.98831000000000002</v>
      </c>
      <c r="T6" s="37">
        <v>0.96909999999999996</v>
      </c>
      <c r="U6" s="39" t="s">
        <v>12</v>
      </c>
    </row>
    <row r="7" spans="1:21" x14ac:dyDescent="0.25">
      <c r="A7" s="9" t="s">
        <v>20</v>
      </c>
      <c r="B7" s="3">
        <v>0.78654000000000002</v>
      </c>
      <c r="C7" s="16">
        <f xml:space="preserve"> 0.006257</f>
        <v>6.2570000000000004E-3</v>
      </c>
      <c r="D7" s="3">
        <v>0.76441999999999999</v>
      </c>
      <c r="E7" s="16">
        <f xml:space="preserve"> 0.01178</f>
        <v>1.1780000000000001E-2</v>
      </c>
      <c r="F7" s="5" t="s">
        <v>15</v>
      </c>
      <c r="G7" s="3">
        <v>0.96487999999999996</v>
      </c>
      <c r="H7" s="27">
        <f xml:space="preserve"> 0.7242</f>
        <v>0.72419999999999995</v>
      </c>
      <c r="I7" s="3">
        <v>0.94840999999999998</v>
      </c>
      <c r="J7" s="27">
        <f xml:space="preserve"> 0.6237</f>
        <v>0.62370000000000003</v>
      </c>
      <c r="K7" s="29" t="s">
        <v>12</v>
      </c>
      <c r="L7" s="3">
        <v>0.92798999999999998</v>
      </c>
      <c r="M7" s="27">
        <f xml:space="preserve"> 0.2546</f>
        <v>0.25459999999999999</v>
      </c>
      <c r="N7" s="3">
        <v>0.96245999999999998</v>
      </c>
      <c r="O7" s="29">
        <f xml:space="preserve"> 0.7912</f>
        <v>0.79120000000000001</v>
      </c>
      <c r="P7" s="27" t="s">
        <v>12</v>
      </c>
      <c r="Q7" s="36">
        <v>0.94594999999999996</v>
      </c>
      <c r="R7" s="37">
        <v>7.1480000000000002E-2</v>
      </c>
      <c r="S7" s="38">
        <v>0.93396999999999997</v>
      </c>
      <c r="T7" s="38">
        <v>4.0869999999999997E-2</v>
      </c>
      <c r="U7" s="40" t="s">
        <v>15</v>
      </c>
    </row>
    <row r="8" spans="1:21" ht="18" x14ac:dyDescent="0.35">
      <c r="A8" s="9" t="s">
        <v>86</v>
      </c>
      <c r="B8" s="3">
        <v>0.90261000000000002</v>
      </c>
      <c r="C8" s="27">
        <f xml:space="preserve"> 0.1989</f>
        <v>0.19889999999999999</v>
      </c>
      <c r="D8" s="3">
        <v>0.95484999999999998</v>
      </c>
      <c r="E8" s="27">
        <f xml:space="preserve"> 0.7599</f>
        <v>0.75990000000000002</v>
      </c>
      <c r="F8" s="29" t="s">
        <v>12</v>
      </c>
      <c r="G8" s="3">
        <v>0.90686999999999995</v>
      </c>
      <c r="H8" s="27">
        <f xml:space="preserve"> 0.08858</f>
        <v>8.8580000000000006E-2</v>
      </c>
      <c r="I8" s="3">
        <v>0.91535</v>
      </c>
      <c r="J8" s="27">
        <f xml:space="preserve"> 0.2818</f>
        <v>0.28179999999999999</v>
      </c>
      <c r="K8" s="29" t="s">
        <v>12</v>
      </c>
      <c r="L8" s="3">
        <v>0.95484000000000002</v>
      </c>
      <c r="M8" s="27">
        <f xml:space="preserve"> 0.6037</f>
        <v>0.60370000000000001</v>
      </c>
      <c r="N8" s="3">
        <v>0.88509000000000004</v>
      </c>
      <c r="O8" s="29">
        <f xml:space="preserve"> 0.08362</f>
        <v>8.362E-2</v>
      </c>
      <c r="P8" s="27" t="s">
        <v>12</v>
      </c>
      <c r="Q8" s="36">
        <v>0.95682999999999996</v>
      </c>
      <c r="R8" s="37">
        <v>0.16009999999999999</v>
      </c>
      <c r="S8" s="38">
        <v>0.93998000000000004</v>
      </c>
      <c r="T8" s="37">
        <v>6.1550000000000001E-2</v>
      </c>
      <c r="U8" s="39" t="s">
        <v>12</v>
      </c>
    </row>
    <row r="9" spans="1:21" ht="18" x14ac:dyDescent="0.35">
      <c r="A9" s="9" t="s">
        <v>87</v>
      </c>
      <c r="B9" s="3">
        <v>0.84311000000000003</v>
      </c>
      <c r="C9" s="16">
        <f xml:space="preserve"> 0.03469</f>
        <v>3.4689999999999999E-2</v>
      </c>
      <c r="D9" s="3">
        <v>0.91259999999999997</v>
      </c>
      <c r="E9" s="27">
        <f xml:space="preserve"> 0.3728</f>
        <v>0.37280000000000002</v>
      </c>
      <c r="F9" s="5" t="s">
        <v>15</v>
      </c>
      <c r="G9" s="3">
        <v>0.93101999999999996</v>
      </c>
      <c r="H9" s="27">
        <f xml:space="preserve"> 0.2264</f>
        <v>0.22639999999999999</v>
      </c>
      <c r="I9" s="3">
        <v>0.90376999999999996</v>
      </c>
      <c r="J9" s="27">
        <f xml:space="preserve"> 0.2054</f>
        <v>0.2054</v>
      </c>
      <c r="K9" s="29" t="s">
        <v>12</v>
      </c>
      <c r="L9" s="3">
        <v>0.89634000000000003</v>
      </c>
      <c r="M9" s="27">
        <f xml:space="preserve"> 0.08369</f>
        <v>8.3690000000000001E-2</v>
      </c>
      <c r="N9" s="3">
        <v>0.94001999999999997</v>
      </c>
      <c r="O9" s="29">
        <f xml:space="preserve"> 0.4572</f>
        <v>0.4572</v>
      </c>
      <c r="P9" s="27" t="s">
        <v>12</v>
      </c>
      <c r="Q9" s="36">
        <v>0.89254999999999995</v>
      </c>
      <c r="R9" s="38">
        <v>1.841E-3</v>
      </c>
      <c r="S9" s="38">
        <v>0.85809999999999997</v>
      </c>
      <c r="T9" s="38">
        <v>4.2690000000000002E-4</v>
      </c>
      <c r="U9" s="40" t="s">
        <v>15</v>
      </c>
    </row>
    <row r="10" spans="1:21" x14ac:dyDescent="0.25">
      <c r="A10" s="9" t="s">
        <v>26</v>
      </c>
      <c r="B10" s="3">
        <v>0.96267000000000003</v>
      </c>
      <c r="C10" s="27">
        <f xml:space="preserve"> 0.8045</f>
        <v>0.80449999999999999</v>
      </c>
      <c r="D10" s="3">
        <v>0.94091000000000002</v>
      </c>
      <c r="E10" s="27">
        <f xml:space="preserve"> 0.62</f>
        <v>0.62</v>
      </c>
      <c r="F10" s="29" t="s">
        <v>12</v>
      </c>
      <c r="G10" s="3">
        <v>0.94499999999999995</v>
      </c>
      <c r="H10" s="27">
        <f xml:space="preserve"> 0.3824</f>
        <v>0.38240000000000002</v>
      </c>
      <c r="I10" s="3">
        <v>0.89517999999999998</v>
      </c>
      <c r="J10" s="27">
        <f xml:space="preserve"> 0.1613</f>
        <v>0.1613</v>
      </c>
      <c r="K10" s="29" t="s">
        <v>12</v>
      </c>
      <c r="L10" s="3">
        <v>0.97455999999999998</v>
      </c>
      <c r="M10" s="27">
        <f xml:space="preserve"> 0.919</f>
        <v>0.91900000000000004</v>
      </c>
      <c r="N10" s="3">
        <v>0.94330000000000003</v>
      </c>
      <c r="O10" s="29">
        <f xml:space="preserve"> 0.501</f>
        <v>0.501</v>
      </c>
      <c r="P10" s="27" t="s">
        <v>12</v>
      </c>
      <c r="Q10" s="36">
        <v>0.98116000000000003</v>
      </c>
      <c r="R10" s="37">
        <v>0.7712</v>
      </c>
      <c r="S10" s="38">
        <v>0.94747000000000003</v>
      </c>
      <c r="T10" s="37">
        <v>0.1031</v>
      </c>
      <c r="U10" s="39" t="s">
        <v>12</v>
      </c>
    </row>
    <row r="11" spans="1:21" x14ac:dyDescent="0.25">
      <c r="A11" s="9" t="s">
        <v>27</v>
      </c>
      <c r="B11" s="3">
        <v>0.83560999999999996</v>
      </c>
      <c r="C11" s="16">
        <f xml:space="preserve"> 0.02766</f>
        <v>2.7660000000000001E-2</v>
      </c>
      <c r="D11" s="3">
        <v>0.85955999999999999</v>
      </c>
      <c r="E11" s="27">
        <f xml:space="preserve"> 0.1189</f>
        <v>0.11890000000000001</v>
      </c>
      <c r="F11" s="5" t="s">
        <v>15</v>
      </c>
      <c r="G11" s="3">
        <v>0.98075999999999997</v>
      </c>
      <c r="H11" s="27">
        <f xml:space="preserve"> 0.9637</f>
        <v>0.9637</v>
      </c>
      <c r="I11" s="3">
        <v>0.92922000000000005</v>
      </c>
      <c r="J11" s="27">
        <f xml:space="preserve"> 0.403</f>
        <v>0.40300000000000002</v>
      </c>
      <c r="K11" s="29" t="s">
        <v>12</v>
      </c>
      <c r="L11" s="3">
        <v>0.96306999999999998</v>
      </c>
      <c r="M11" s="27">
        <f xml:space="preserve"> 0.7456</f>
        <v>0.74560000000000004</v>
      </c>
      <c r="N11" s="3">
        <v>0.86439999999999995</v>
      </c>
      <c r="O11" s="5">
        <f xml:space="preserve"> 0.04404</f>
        <v>4.4040000000000003E-2</v>
      </c>
      <c r="P11" s="16" t="s">
        <v>15</v>
      </c>
      <c r="Q11" s="36">
        <v>0.97950000000000004</v>
      </c>
      <c r="R11" s="37">
        <v>0.71419999999999995</v>
      </c>
      <c r="S11" s="38">
        <v>0.96763999999999994</v>
      </c>
      <c r="T11" s="37">
        <v>0.39950000000000002</v>
      </c>
      <c r="U11" s="39" t="s">
        <v>12</v>
      </c>
    </row>
    <row r="12" spans="1:21" ht="18" x14ac:dyDescent="0.35">
      <c r="A12" s="9" t="s">
        <v>51</v>
      </c>
      <c r="B12" s="3">
        <v>0.83492999999999995</v>
      </c>
      <c r="C12" s="16">
        <f xml:space="preserve"> 0.0271</f>
        <v>2.7099999999999999E-2</v>
      </c>
      <c r="D12" s="3">
        <v>0.87656999999999996</v>
      </c>
      <c r="E12" s="27">
        <f xml:space="preserve"> 0.1746</f>
        <v>0.17460000000000001</v>
      </c>
      <c r="F12" s="5" t="s">
        <v>15</v>
      </c>
      <c r="G12" s="3">
        <v>0.98594999999999999</v>
      </c>
      <c r="H12" s="27">
        <f xml:space="preserve"> 0.9923</f>
        <v>0.99229999999999996</v>
      </c>
      <c r="I12" s="3">
        <v>0.91544999999999999</v>
      </c>
      <c r="J12" s="27">
        <f xml:space="preserve"> 0.2825</f>
        <v>0.28249999999999997</v>
      </c>
      <c r="K12" s="29" t="s">
        <v>12</v>
      </c>
      <c r="L12" s="3">
        <v>0.96633999999999998</v>
      </c>
      <c r="M12" s="27">
        <f xml:space="preserve"> 0.8007</f>
        <v>0.80069999999999997</v>
      </c>
      <c r="N12" s="3">
        <v>0.87138000000000004</v>
      </c>
      <c r="O12" s="29">
        <f xml:space="preserve"> 0.05457</f>
        <v>5.457E-2</v>
      </c>
      <c r="P12" s="27" t="s">
        <v>12</v>
      </c>
      <c r="Q12" s="36">
        <v>0.97909000000000002</v>
      </c>
      <c r="R12" s="37">
        <v>0.70009999999999994</v>
      </c>
      <c r="S12" s="38">
        <v>0.96284000000000003</v>
      </c>
      <c r="T12" s="37">
        <v>0.29380000000000001</v>
      </c>
      <c r="U12" s="39" t="s">
        <v>12</v>
      </c>
    </row>
    <row r="13" spans="1:21" ht="18" x14ac:dyDescent="0.35">
      <c r="A13" s="9" t="s">
        <v>52</v>
      </c>
      <c r="B13" s="3">
        <v>0.84014</v>
      </c>
      <c r="C13" s="16">
        <f xml:space="preserve"> 0.03172</f>
        <v>3.1719999999999998E-2</v>
      </c>
      <c r="D13" s="3">
        <v>0.85989000000000004</v>
      </c>
      <c r="E13" s="27">
        <f xml:space="preserve"> 0.1198</f>
        <v>0.1198</v>
      </c>
      <c r="F13" s="5" t="s">
        <v>15</v>
      </c>
      <c r="G13" s="3">
        <v>0.98421000000000003</v>
      </c>
      <c r="H13" s="27">
        <f xml:space="preserve"> 0.9857</f>
        <v>0.98570000000000002</v>
      </c>
      <c r="I13" s="3">
        <v>0.91783999999999999</v>
      </c>
      <c r="J13" s="27">
        <f xml:space="preserve"> 0.301</f>
        <v>0.30099999999999999</v>
      </c>
      <c r="K13" s="29" t="s">
        <v>12</v>
      </c>
      <c r="L13" s="3">
        <v>0.96557999999999999</v>
      </c>
      <c r="M13" s="27">
        <f xml:space="preserve"> 0.7881</f>
        <v>0.78810000000000002</v>
      </c>
      <c r="N13" s="3">
        <v>0.87860000000000005</v>
      </c>
      <c r="O13" s="29">
        <f xml:space="preserve"> 0.06826</f>
        <v>6.8260000000000001E-2</v>
      </c>
      <c r="P13" s="27" t="s">
        <v>12</v>
      </c>
      <c r="Q13" s="36">
        <v>0.98072999999999999</v>
      </c>
      <c r="R13" s="37">
        <v>0.75649999999999995</v>
      </c>
      <c r="S13" s="38">
        <v>0.96450000000000002</v>
      </c>
      <c r="T13" s="37">
        <v>0.32729999999999998</v>
      </c>
      <c r="U13" s="39" t="s">
        <v>12</v>
      </c>
    </row>
    <row r="14" spans="1:21" x14ac:dyDescent="0.25">
      <c r="A14" s="9" t="s">
        <v>21</v>
      </c>
      <c r="B14" s="3">
        <v>0.81542000000000003</v>
      </c>
      <c r="C14" s="16">
        <f xml:space="preserve"> 0.01501</f>
        <v>1.5010000000000001E-2</v>
      </c>
      <c r="D14" s="3">
        <v>0.94718000000000002</v>
      </c>
      <c r="E14" s="27">
        <f xml:space="preserve"> 0.6827</f>
        <v>0.68269999999999997</v>
      </c>
      <c r="F14" s="5" t="s">
        <v>15</v>
      </c>
      <c r="G14" s="3">
        <v>0.56913999999999998</v>
      </c>
      <c r="H14" s="16">
        <f xml:space="preserve"> 0.000005311</f>
        <v>5.3109999999999996E-6</v>
      </c>
      <c r="I14" s="3">
        <v>0.69781000000000004</v>
      </c>
      <c r="J14" s="16">
        <f xml:space="preserve"> 0.0004383</f>
        <v>4.3829999999999997E-4</v>
      </c>
      <c r="K14" s="5" t="s">
        <v>15</v>
      </c>
      <c r="L14" s="3">
        <v>0.73412999999999995</v>
      </c>
      <c r="M14" s="16">
        <f xml:space="preserve"> 0.0002894</f>
        <v>2.8939999999999999E-4</v>
      </c>
      <c r="N14" s="3">
        <v>0.50653999999999999</v>
      </c>
      <c r="O14" s="5">
        <f xml:space="preserve"> 0.000003973</f>
        <v>3.9729999999999999E-6</v>
      </c>
      <c r="P14" s="16" t="s">
        <v>15</v>
      </c>
      <c r="Q14" s="36">
        <v>0.70538999999999996</v>
      </c>
      <c r="R14" s="38">
        <v>2.6300000000000001E-7</v>
      </c>
      <c r="S14" s="38">
        <v>0.54483000000000004</v>
      </c>
      <c r="T14" s="38">
        <v>4.1199999999999998E-9</v>
      </c>
      <c r="U14" s="40" t="s">
        <v>15</v>
      </c>
    </row>
    <row r="15" spans="1:21" x14ac:dyDescent="0.25">
      <c r="A15" s="9" t="s">
        <v>24</v>
      </c>
      <c r="B15" s="3">
        <v>0.96569000000000005</v>
      </c>
      <c r="C15" s="27">
        <f xml:space="preserve"> 0.84</f>
        <v>0.84</v>
      </c>
      <c r="D15" s="3">
        <v>0.85997999999999997</v>
      </c>
      <c r="E15" s="27">
        <f xml:space="preserve"> 0.12</f>
        <v>0.12</v>
      </c>
      <c r="F15" s="29" t="s">
        <v>12</v>
      </c>
      <c r="G15" s="3">
        <v>0.81255999999999995</v>
      </c>
      <c r="H15" s="16">
        <f xml:space="preserve"> 0.003032</f>
        <v>3.032E-3</v>
      </c>
      <c r="I15" s="3">
        <v>0.89944999999999997</v>
      </c>
      <c r="J15" s="27">
        <f xml:space="preserve"> 0.182</f>
        <v>0.182</v>
      </c>
      <c r="K15" s="5" t="s">
        <v>15</v>
      </c>
      <c r="L15" s="3">
        <v>0.88295000000000001</v>
      </c>
      <c r="M15" s="16">
        <f xml:space="preserve"> 0.03551</f>
        <v>3.551E-2</v>
      </c>
      <c r="N15" s="3">
        <v>0.85155999999999998</v>
      </c>
      <c r="O15" s="5">
        <f xml:space="preserve"> 0.01827</f>
        <v>1.8270000000000002E-2</v>
      </c>
      <c r="P15" s="16" t="s">
        <v>15</v>
      </c>
      <c r="Q15" s="36">
        <v>0.91102000000000005</v>
      </c>
      <c r="R15" s="38">
        <v>6.0520000000000001E-3</v>
      </c>
      <c r="S15" s="38">
        <v>0.95362000000000002</v>
      </c>
      <c r="T15" s="38">
        <v>0.1575</v>
      </c>
      <c r="U15" s="40" t="s">
        <v>15</v>
      </c>
    </row>
    <row r="16" spans="1:21" x14ac:dyDescent="0.25">
      <c r="A16" s="9" t="s">
        <v>25</v>
      </c>
      <c r="B16" s="3">
        <v>0.86828000000000005</v>
      </c>
      <c r="C16" s="27">
        <f xml:space="preserve"> 0.07368</f>
        <v>7.3679999999999995E-2</v>
      </c>
      <c r="D16" s="3">
        <v>0.77066999999999997</v>
      </c>
      <c r="E16" s="16">
        <f xml:space="preserve"> 0.01379</f>
        <v>1.379E-2</v>
      </c>
      <c r="F16" s="5" t="s">
        <v>15</v>
      </c>
      <c r="G16" s="3">
        <v>0.87849999999999995</v>
      </c>
      <c r="H16" s="16">
        <f xml:space="preserve"> 0.03007</f>
        <v>3.007E-2</v>
      </c>
      <c r="I16" s="3">
        <v>0.70721000000000001</v>
      </c>
      <c r="J16" s="16">
        <f xml:space="preserve"> 0.0005792</f>
        <v>5.7919999999999998E-4</v>
      </c>
      <c r="K16" s="5" t="s">
        <v>15</v>
      </c>
      <c r="L16" s="3">
        <v>0.56425000000000003</v>
      </c>
      <c r="M16" s="16">
        <f xml:space="preserve"> 0.000004786</f>
        <v>4.7859999999999996E-6</v>
      </c>
      <c r="N16" s="3">
        <v>0.53005000000000002</v>
      </c>
      <c r="O16" s="5">
        <f xml:space="preserve"> 0.00000621</f>
        <v>6.2099999999999998E-6</v>
      </c>
      <c r="P16" s="16" t="s">
        <v>15</v>
      </c>
      <c r="Q16" s="36">
        <v>0.68174000000000001</v>
      </c>
      <c r="R16" s="38">
        <v>1.12E-7</v>
      </c>
      <c r="S16" s="38">
        <v>0.51290000000000002</v>
      </c>
      <c r="T16" s="38">
        <v>1.7700000000000001E-9</v>
      </c>
      <c r="U16" s="40" t="s">
        <v>15</v>
      </c>
    </row>
    <row r="17" spans="1:21" x14ac:dyDescent="0.25">
      <c r="A17" s="9" t="s">
        <v>19</v>
      </c>
      <c r="B17" s="3">
        <v>0.76019000000000003</v>
      </c>
      <c r="C17" s="16">
        <f xml:space="preserve"> 0.002824</f>
        <v>2.8240000000000001E-3</v>
      </c>
      <c r="D17" s="3">
        <v>0.81877999999999995</v>
      </c>
      <c r="E17" s="16">
        <f xml:space="preserve"> 0.0453</f>
        <v>4.53E-2</v>
      </c>
      <c r="F17" s="5" t="s">
        <v>15</v>
      </c>
      <c r="G17" s="3">
        <v>0.55061000000000004</v>
      </c>
      <c r="H17" s="16">
        <f xml:space="preserve"> 0.000003594</f>
        <v>3.5939999999999998E-6</v>
      </c>
      <c r="I17" s="3">
        <v>0.89771999999999996</v>
      </c>
      <c r="J17" s="27">
        <f xml:space="preserve"> 0.1733</f>
        <v>0.17330000000000001</v>
      </c>
      <c r="K17" s="5" t="s">
        <v>15</v>
      </c>
      <c r="L17" s="3">
        <v>0.88556000000000001</v>
      </c>
      <c r="M17" s="16">
        <f xml:space="preserve"> 0.03917</f>
        <v>3.9170000000000003E-2</v>
      </c>
      <c r="N17" s="3">
        <v>0.94303000000000003</v>
      </c>
      <c r="O17" s="29">
        <f xml:space="preserve"> 0.422</f>
        <v>0.42199999999999999</v>
      </c>
      <c r="P17" s="16" t="s">
        <v>15</v>
      </c>
      <c r="Q17" s="36">
        <v>0.46983000000000003</v>
      </c>
      <c r="R17" s="38">
        <v>2.09E-10</v>
      </c>
      <c r="S17" s="38">
        <v>0.83267999999999998</v>
      </c>
      <c r="T17" s="38">
        <v>1.18E-4</v>
      </c>
      <c r="U17" s="40" t="s">
        <v>15</v>
      </c>
    </row>
    <row r="18" spans="1:21" x14ac:dyDescent="0.25">
      <c r="A18" s="9" t="s">
        <v>35</v>
      </c>
      <c r="B18" s="3">
        <v>0.92481999999999998</v>
      </c>
      <c r="C18" s="27">
        <f xml:space="preserve"> 0.3608</f>
        <v>0.36080000000000001</v>
      </c>
      <c r="D18" s="3">
        <v>0.97636000000000001</v>
      </c>
      <c r="E18" s="27">
        <f xml:space="preserve"> 0.9427</f>
        <v>0.94269999999999998</v>
      </c>
      <c r="F18" s="29" t="s">
        <v>12</v>
      </c>
      <c r="G18" s="3">
        <v>0.88356000000000001</v>
      </c>
      <c r="H18" s="16">
        <f xml:space="preserve"> 0.03633</f>
        <v>3.6330000000000001E-2</v>
      </c>
      <c r="I18" s="3">
        <v>0.91701999999999995</v>
      </c>
      <c r="J18" s="27">
        <f xml:space="preserve"> 0.2946</f>
        <v>0.29459999999999997</v>
      </c>
      <c r="K18" s="5" t="s">
        <v>15</v>
      </c>
      <c r="L18" s="3">
        <v>0.92642999999999998</v>
      </c>
      <c r="M18" s="27">
        <f xml:space="preserve"> 0.1896</f>
        <v>0.18959999999999999</v>
      </c>
      <c r="N18" s="3">
        <v>0.94650000000000001</v>
      </c>
      <c r="O18" s="29">
        <f xml:space="preserve"> 0.4712</f>
        <v>0.47120000000000001</v>
      </c>
      <c r="P18" s="27" t="s">
        <v>12</v>
      </c>
      <c r="Q18" s="36">
        <v>0.94930999999999999</v>
      </c>
      <c r="R18" s="37">
        <v>9.1660000000000005E-2</v>
      </c>
      <c r="S18" s="38">
        <v>0.97023999999999999</v>
      </c>
      <c r="T18" s="37">
        <v>0.46800000000000003</v>
      </c>
      <c r="U18" s="39" t="s">
        <v>12</v>
      </c>
    </row>
    <row r="19" spans="1:21" x14ac:dyDescent="0.25">
      <c r="A19" s="9" t="s">
        <v>22</v>
      </c>
      <c r="B19" s="3">
        <v>0.86297000000000001</v>
      </c>
      <c r="C19" s="27">
        <f xml:space="preserve"> 0.06292</f>
        <v>6.2920000000000004E-2</v>
      </c>
      <c r="D19" s="3">
        <v>0.82247000000000003</v>
      </c>
      <c r="E19" s="16">
        <f xml:space="preserve"> 0.04953</f>
        <v>4.9529999999999998E-2</v>
      </c>
      <c r="F19" s="5" t="s">
        <v>15</v>
      </c>
      <c r="G19" s="3">
        <v>0.84650000000000003</v>
      </c>
      <c r="H19" s="16">
        <f xml:space="preserve"> 0.009489</f>
        <v>9.4889999999999992E-3</v>
      </c>
      <c r="I19" s="3">
        <v>0.78673999999999999</v>
      </c>
      <c r="J19" s="16">
        <f xml:space="preserve"> 0.006296</f>
        <v>6.2960000000000004E-3</v>
      </c>
      <c r="K19" s="5" t="s">
        <v>15</v>
      </c>
      <c r="L19" s="3">
        <v>0.81649000000000005</v>
      </c>
      <c r="M19" s="16">
        <f xml:space="preserve"> 0.003445</f>
        <v>3.4450000000000001E-3</v>
      </c>
      <c r="N19" s="3">
        <v>0.75463999999999998</v>
      </c>
      <c r="O19" s="5">
        <f xml:space="preserve"> 0.001019</f>
        <v>1.0189999999999999E-3</v>
      </c>
      <c r="P19" s="16" t="s">
        <v>15</v>
      </c>
      <c r="Q19" s="36">
        <v>0.87019000000000002</v>
      </c>
      <c r="R19" s="38">
        <v>4.8339999999999999E-4</v>
      </c>
      <c r="S19" s="38">
        <v>0.81254999999999999</v>
      </c>
      <c r="T19" s="38">
        <v>4.5200000000000001E-5</v>
      </c>
      <c r="U19" s="40" t="s">
        <v>15</v>
      </c>
    </row>
    <row r="20" spans="1:21" x14ac:dyDescent="0.25">
      <c r="A20" s="10" t="s">
        <v>29</v>
      </c>
      <c r="B20" s="3">
        <v>0.83284999999999998</v>
      </c>
      <c r="C20" s="16">
        <f xml:space="preserve"> 0.02545</f>
        <v>2.545E-2</v>
      </c>
      <c r="D20" s="3">
        <v>0.90220999999999996</v>
      </c>
      <c r="E20" s="27">
        <f xml:space="preserve"> 0.3025</f>
        <v>0.30249999999999999</v>
      </c>
      <c r="F20" s="5" t="s">
        <v>15</v>
      </c>
      <c r="G20" s="3">
        <v>0.89098999999999995</v>
      </c>
      <c r="H20" s="16">
        <f xml:space="preserve"> 0.04811</f>
        <v>4.811E-2</v>
      </c>
      <c r="I20" s="3">
        <v>0.89798999999999995</v>
      </c>
      <c r="J20" s="27">
        <f xml:space="preserve"> 0.1747</f>
        <v>0.17469999999999999</v>
      </c>
      <c r="K20" s="5" t="s">
        <v>15</v>
      </c>
      <c r="L20" s="3">
        <v>0.86651999999999996</v>
      </c>
      <c r="M20" s="16">
        <f xml:space="preserve"> 0.01935</f>
        <v>1.9349999999999999E-2</v>
      </c>
      <c r="N20" s="3">
        <v>0.94282999999999995</v>
      </c>
      <c r="O20" s="29">
        <f xml:space="preserve"> 0.4193</f>
        <v>0.41930000000000001</v>
      </c>
      <c r="P20" s="16" t="s">
        <v>15</v>
      </c>
      <c r="Q20" s="36">
        <v>0.87368999999999997</v>
      </c>
      <c r="R20" s="38">
        <v>1.584E-4</v>
      </c>
      <c r="S20" s="38">
        <v>0.92613999999999996</v>
      </c>
      <c r="T20" s="38">
        <v>2.418E-2</v>
      </c>
      <c r="U20" s="40" t="s">
        <v>15</v>
      </c>
    </row>
    <row r="21" spans="1:21" x14ac:dyDescent="0.25">
      <c r="A21" s="11" t="s">
        <v>31</v>
      </c>
      <c r="B21" s="3">
        <v>0.96460000000000001</v>
      </c>
      <c r="C21" s="27">
        <f xml:space="preserve"> 0.8367</f>
        <v>0.8367</v>
      </c>
      <c r="D21" s="3">
        <v>0.93025999999999998</v>
      </c>
      <c r="E21" s="27">
        <f xml:space="preserve"> 0.5185</f>
        <v>0.51849999999999996</v>
      </c>
      <c r="F21" s="29" t="s">
        <v>12</v>
      </c>
      <c r="G21" s="3">
        <v>0.84084000000000003</v>
      </c>
      <c r="H21" s="16">
        <f xml:space="preserve"> 0.02835</f>
        <v>2.835E-2</v>
      </c>
      <c r="I21" s="3">
        <v>0.84819999999999995</v>
      </c>
      <c r="J21" s="16">
        <f xml:space="preserve"> 0.04043</f>
        <v>4.0430000000000001E-2</v>
      </c>
      <c r="K21" s="5" t="s">
        <v>15</v>
      </c>
      <c r="L21" s="3">
        <v>0.80469999999999997</v>
      </c>
      <c r="M21" s="16">
        <f xml:space="preserve"> 0.005709</f>
        <v>5.7089999999999997E-3</v>
      </c>
      <c r="N21" s="3">
        <v>0.92974000000000001</v>
      </c>
      <c r="O21" s="29">
        <f xml:space="preserve"> 0.2705</f>
        <v>0.27050000000000002</v>
      </c>
      <c r="P21" s="16" t="s">
        <v>15</v>
      </c>
      <c r="Q21" s="36">
        <v>0.75439999999999996</v>
      </c>
      <c r="R21" s="38">
        <v>2.7140000000000001E-7</v>
      </c>
      <c r="S21" s="38">
        <v>0.86458000000000002</v>
      </c>
      <c r="T21" s="38">
        <v>6.0340000000000003E-4</v>
      </c>
      <c r="U21" s="40" t="s">
        <v>15</v>
      </c>
    </row>
    <row r="22" spans="1:21" x14ac:dyDescent="0.25">
      <c r="A22" s="11" t="s">
        <v>14</v>
      </c>
      <c r="B22" s="3">
        <v>0.72558999999999996</v>
      </c>
      <c r="C22" s="16">
        <f xml:space="preserve"> 0.001001</f>
        <v>1.0009999999999999E-3</v>
      </c>
      <c r="D22" s="3">
        <v>0.84297999999999995</v>
      </c>
      <c r="E22" s="27">
        <f xml:space="preserve"> 0.08082</f>
        <v>8.0820000000000003E-2</v>
      </c>
      <c r="F22" s="5" t="s">
        <v>15</v>
      </c>
      <c r="G22" s="3">
        <v>0.83277000000000001</v>
      </c>
      <c r="H22" s="16">
        <f xml:space="preserve"> 0.005921</f>
        <v>5.921E-3</v>
      </c>
      <c r="I22" s="3">
        <v>0.86941999999999997</v>
      </c>
      <c r="J22" s="27">
        <f xml:space="preserve"> 0.0762</f>
        <v>7.6200000000000004E-2</v>
      </c>
      <c r="K22" s="5" t="s">
        <v>15</v>
      </c>
      <c r="L22" s="3">
        <v>0.87434999999999996</v>
      </c>
      <c r="M22" s="16">
        <f xml:space="preserve"> 0.02578</f>
        <v>2.5780000000000001E-2</v>
      </c>
      <c r="N22" s="3">
        <v>0.72153999999999996</v>
      </c>
      <c r="O22" s="5">
        <f xml:space="preserve"> 0.0004265</f>
        <v>4.2650000000000001E-4</v>
      </c>
      <c r="P22" s="16" t="s">
        <v>15</v>
      </c>
      <c r="Q22" s="36">
        <v>0.77863000000000004</v>
      </c>
      <c r="R22" s="38">
        <v>8.3219999999999995E-7</v>
      </c>
      <c r="S22" s="38">
        <v>0.80672999999999995</v>
      </c>
      <c r="T22" s="38">
        <v>3.4669999999999998E-5</v>
      </c>
      <c r="U22" s="40" t="s">
        <v>15</v>
      </c>
    </row>
    <row r="23" spans="1:21" x14ac:dyDescent="0.25">
      <c r="A23" s="11" t="s">
        <v>32</v>
      </c>
      <c r="B23" s="3">
        <v>0.89107000000000003</v>
      </c>
      <c r="C23" s="27">
        <f xml:space="preserve"> 0.3881</f>
        <v>0.3881</v>
      </c>
      <c r="D23" s="3" t="s">
        <v>89</v>
      </c>
      <c r="E23" s="17" t="s">
        <v>89</v>
      </c>
      <c r="F23" s="3" t="s">
        <v>89</v>
      </c>
      <c r="G23" s="3">
        <v>0.83425000000000005</v>
      </c>
      <c r="H23" s="27">
        <f xml:space="preserve"> 0.06571</f>
        <v>6.5710000000000005E-2</v>
      </c>
      <c r="I23" s="3">
        <v>0.75</v>
      </c>
      <c r="J23" s="16">
        <v>2.2E-16</v>
      </c>
      <c r="K23" s="5" t="s">
        <v>15</v>
      </c>
      <c r="L23" s="3">
        <v>0.78083999999999998</v>
      </c>
      <c r="M23" s="16">
        <f xml:space="preserve"> 0.03925</f>
        <v>3.925E-2</v>
      </c>
      <c r="N23" s="3">
        <v>0.87734999999999996</v>
      </c>
      <c r="O23" s="29">
        <f xml:space="preserve"> 0.2975</f>
        <v>0.29749999999999999</v>
      </c>
      <c r="P23" s="16" t="s">
        <v>15</v>
      </c>
      <c r="Q23" s="36">
        <v>0.45551000000000003</v>
      </c>
      <c r="R23" s="38">
        <v>1.057E-11</v>
      </c>
      <c r="S23" s="38">
        <v>0.48447000000000001</v>
      </c>
      <c r="T23" s="38">
        <v>8.5660000000000002E-10</v>
      </c>
      <c r="U23" s="40" t="s">
        <v>15</v>
      </c>
    </row>
    <row r="24" spans="1:21" x14ac:dyDescent="0.25">
      <c r="A24" s="11" t="s">
        <v>33</v>
      </c>
      <c r="B24" s="3">
        <v>0.94640000000000002</v>
      </c>
      <c r="C24" s="27">
        <f xml:space="preserve"> 0.6506</f>
        <v>0.65059999999999996</v>
      </c>
      <c r="D24" s="3">
        <v>0.95648999999999995</v>
      </c>
      <c r="E24" s="27">
        <f xml:space="preserve"> 0.7833</f>
        <v>0.7833</v>
      </c>
      <c r="F24" s="29" t="s">
        <v>12</v>
      </c>
      <c r="G24" s="3">
        <v>0.65964999999999996</v>
      </c>
      <c r="H24" s="16">
        <f xml:space="preserve"> 0.0007813</f>
        <v>7.8129999999999996E-4</v>
      </c>
      <c r="I24" s="3">
        <v>0.84592000000000001</v>
      </c>
      <c r="J24" s="27">
        <f xml:space="preserve"> 0.0866</f>
        <v>8.6599999999999996E-2</v>
      </c>
      <c r="K24" s="5" t="s">
        <v>15</v>
      </c>
      <c r="L24" s="3">
        <v>0.74622999999999995</v>
      </c>
      <c r="M24" s="16">
        <f xml:space="preserve"> 0.00321</f>
        <v>3.2100000000000002E-3</v>
      </c>
      <c r="N24" s="3">
        <v>0.91713999999999996</v>
      </c>
      <c r="O24" s="29">
        <f xml:space="preserve"> 0.3691</f>
        <v>0.36909999999999998</v>
      </c>
      <c r="P24" s="16" t="s">
        <v>15</v>
      </c>
      <c r="Q24" s="36">
        <v>0.64859999999999995</v>
      </c>
      <c r="R24" s="38">
        <v>3.9689999999999998E-9</v>
      </c>
      <c r="S24" s="38">
        <v>0.77298999999999995</v>
      </c>
      <c r="T24" s="38">
        <v>8.0229999999999992E-6</v>
      </c>
      <c r="U24" s="40" t="s">
        <v>15</v>
      </c>
    </row>
    <row r="25" spans="1:21" x14ac:dyDescent="0.25">
      <c r="A25" s="11" t="s">
        <v>34</v>
      </c>
      <c r="B25" s="3" t="s">
        <v>89</v>
      </c>
      <c r="C25" s="17" t="s">
        <v>89</v>
      </c>
      <c r="D25" s="3">
        <v>0.65649999999999997</v>
      </c>
      <c r="E25" s="16">
        <f xml:space="preserve"> 0.003188</f>
        <v>3.1879999999999999E-3</v>
      </c>
      <c r="F25" s="5" t="s">
        <v>89</v>
      </c>
      <c r="G25" s="3">
        <v>0.94369000000000003</v>
      </c>
      <c r="H25" s="27">
        <f xml:space="preserve"> 0.5425</f>
        <v>0.54249999999999998</v>
      </c>
      <c r="I25" s="3">
        <v>0.69589000000000001</v>
      </c>
      <c r="J25" s="16">
        <f xml:space="preserve"> 0.001271</f>
        <v>1.271E-3</v>
      </c>
      <c r="K25" s="5" t="s">
        <v>15</v>
      </c>
      <c r="L25" s="3">
        <v>0.82081999999999999</v>
      </c>
      <c r="M25" s="27">
        <f xml:space="preserve"> 0.1652</f>
        <v>0.16520000000000001</v>
      </c>
      <c r="N25" s="3">
        <v>0.67813000000000001</v>
      </c>
      <c r="O25" s="5">
        <f xml:space="preserve"> 0.0003382</f>
        <v>3.3819999999999998E-4</v>
      </c>
      <c r="P25" s="16" t="s">
        <v>15</v>
      </c>
      <c r="Q25" s="36">
        <v>0.35341</v>
      </c>
      <c r="R25" s="38">
        <v>8.2010000000000001E-13</v>
      </c>
      <c r="S25" s="38">
        <v>0.64190000000000003</v>
      </c>
      <c r="T25" s="38">
        <v>7.0640000000000003E-8</v>
      </c>
      <c r="U25" s="40" t="s">
        <v>15</v>
      </c>
    </row>
    <row r="26" spans="1:21" x14ac:dyDescent="0.25">
      <c r="A26" s="11" t="s">
        <v>36</v>
      </c>
      <c r="B26" s="3" t="s">
        <v>89</v>
      </c>
      <c r="C26" s="17" t="s">
        <v>89</v>
      </c>
      <c r="D26" s="3" t="s">
        <v>89</v>
      </c>
      <c r="E26" s="17" t="s">
        <v>89</v>
      </c>
      <c r="F26" s="3" t="s">
        <v>89</v>
      </c>
      <c r="G26" s="5" t="s">
        <v>89</v>
      </c>
      <c r="H26" s="16" t="s">
        <v>89</v>
      </c>
      <c r="I26" s="5" t="s">
        <v>89</v>
      </c>
      <c r="J26" s="16" t="s">
        <v>89</v>
      </c>
      <c r="K26" s="5" t="s">
        <v>89</v>
      </c>
      <c r="L26" s="5" t="s">
        <v>89</v>
      </c>
      <c r="M26" s="16" t="s">
        <v>89</v>
      </c>
      <c r="N26" s="5" t="s">
        <v>89</v>
      </c>
      <c r="O26" s="5" t="s">
        <v>89</v>
      </c>
      <c r="P26" s="16" t="s">
        <v>89</v>
      </c>
      <c r="Q26" s="36" t="s">
        <v>44</v>
      </c>
      <c r="R26" s="38" t="s">
        <v>89</v>
      </c>
      <c r="S26" s="38">
        <v>0.23688999999999999</v>
      </c>
      <c r="T26" s="38">
        <v>3.9559999999999997E-12</v>
      </c>
      <c r="U26" s="40" t="s">
        <v>89</v>
      </c>
    </row>
    <row r="27" spans="1:21" x14ac:dyDescent="0.25">
      <c r="A27" s="11" t="s">
        <v>37</v>
      </c>
      <c r="B27" s="3" t="s">
        <v>89</v>
      </c>
      <c r="C27" s="17" t="s">
        <v>89</v>
      </c>
      <c r="D27" s="3" t="s">
        <v>89</v>
      </c>
      <c r="E27" s="17" t="s">
        <v>89</v>
      </c>
      <c r="F27" s="3" t="s">
        <v>89</v>
      </c>
      <c r="G27" s="3">
        <v>0.64785999999999999</v>
      </c>
      <c r="H27" s="16">
        <f xml:space="preserve"> 0.002383</f>
        <v>2.3830000000000001E-3</v>
      </c>
      <c r="I27" s="5" t="s">
        <v>89</v>
      </c>
      <c r="J27" s="16" t="s">
        <v>89</v>
      </c>
      <c r="K27" s="5" t="s">
        <v>89</v>
      </c>
      <c r="L27" s="3">
        <v>0.84238000000000002</v>
      </c>
      <c r="M27" s="27">
        <f xml:space="preserve"> 0.1716</f>
        <v>0.1716</v>
      </c>
      <c r="N27" s="5" t="s">
        <v>89</v>
      </c>
      <c r="O27" s="5" t="s">
        <v>89</v>
      </c>
      <c r="P27" s="16" t="s">
        <v>89</v>
      </c>
      <c r="Q27" s="36">
        <v>0.23641999999999999</v>
      </c>
      <c r="R27" s="38">
        <v>6.1020000000000002E-14</v>
      </c>
      <c r="S27" s="38">
        <v>0.32072000000000001</v>
      </c>
      <c r="T27" s="38">
        <v>2.0889999999999998E-11</v>
      </c>
      <c r="U27" s="40" t="s">
        <v>15</v>
      </c>
    </row>
    <row r="28" spans="1:21" x14ac:dyDescent="0.25">
      <c r="A28" s="11" t="s">
        <v>38</v>
      </c>
      <c r="B28" s="3">
        <v>0.98909999999999998</v>
      </c>
      <c r="C28" s="27">
        <f xml:space="preserve"> 0.8002</f>
        <v>0.80020000000000002</v>
      </c>
      <c r="D28" s="3" t="s">
        <v>89</v>
      </c>
      <c r="E28" s="17" t="s">
        <v>89</v>
      </c>
      <c r="F28" s="3" t="s">
        <v>89</v>
      </c>
      <c r="G28" s="3">
        <v>0.79030999999999996</v>
      </c>
      <c r="H28" s="27">
        <f xml:space="preserve"> 0.08595</f>
        <v>8.5949999999999999E-2</v>
      </c>
      <c r="I28" s="3">
        <v>0.76412999999999998</v>
      </c>
      <c r="J28" s="16">
        <f xml:space="preserve"> 0.04002</f>
        <v>4.002E-2</v>
      </c>
      <c r="K28" s="5" t="s">
        <v>15</v>
      </c>
      <c r="L28" s="3">
        <v>0.96769000000000005</v>
      </c>
      <c r="M28" s="27">
        <f xml:space="preserve"> 0.8602</f>
        <v>0.86019999999999996</v>
      </c>
      <c r="N28" s="3">
        <v>0.90637000000000001</v>
      </c>
      <c r="O28" s="29">
        <f xml:space="preserve"> 0.4461</f>
        <v>0.4461</v>
      </c>
      <c r="P28" s="27" t="s">
        <v>12</v>
      </c>
      <c r="Q28" s="36">
        <v>0.58626999999999996</v>
      </c>
      <c r="R28" s="38">
        <v>4.8040000000000002E-10</v>
      </c>
      <c r="S28" s="38">
        <v>0.32930999999999999</v>
      </c>
      <c r="T28" s="38">
        <v>2.496E-11</v>
      </c>
      <c r="U28" s="40" t="s">
        <v>15</v>
      </c>
    </row>
    <row r="29" spans="1:21" x14ac:dyDescent="0.25">
      <c r="A29" s="11" t="s">
        <v>39</v>
      </c>
      <c r="B29" s="3" t="s">
        <v>89</v>
      </c>
      <c r="C29" s="17" t="s">
        <v>89</v>
      </c>
      <c r="D29" s="3" t="s">
        <v>89</v>
      </c>
      <c r="E29" s="17" t="s">
        <v>89</v>
      </c>
      <c r="F29" s="3" t="s">
        <v>89</v>
      </c>
      <c r="G29" s="5" t="s">
        <v>89</v>
      </c>
      <c r="H29" s="16" t="s">
        <v>89</v>
      </c>
      <c r="I29" s="3">
        <v>0.96389999999999998</v>
      </c>
      <c r="J29" s="27">
        <f xml:space="preserve"> 0.8493</f>
        <v>0.84930000000000005</v>
      </c>
      <c r="K29" s="29" t="s">
        <v>89</v>
      </c>
      <c r="L29" s="5" t="s">
        <v>89</v>
      </c>
      <c r="M29" s="16" t="s">
        <v>89</v>
      </c>
      <c r="N29" s="3">
        <v>0.77171999999999996</v>
      </c>
      <c r="O29" s="5">
        <f xml:space="preserve"> 0.04864</f>
        <v>4.8640000000000003E-2</v>
      </c>
      <c r="P29" s="16" t="s">
        <v>89</v>
      </c>
      <c r="Q29" s="36">
        <v>0.27440999999999999</v>
      </c>
      <c r="R29" s="38">
        <v>1.3720000000000001E-13</v>
      </c>
      <c r="S29" s="38">
        <v>0.50736000000000003</v>
      </c>
      <c r="T29" s="38">
        <v>1.531E-9</v>
      </c>
      <c r="U29" s="40" t="s">
        <v>15</v>
      </c>
    </row>
    <row r="30" spans="1:21" x14ac:dyDescent="0.25">
      <c r="A30" s="11" t="s">
        <v>40</v>
      </c>
      <c r="B30" s="3" t="s">
        <v>89</v>
      </c>
      <c r="C30" s="17" t="s">
        <v>89</v>
      </c>
      <c r="D30" s="3" t="s">
        <v>89</v>
      </c>
      <c r="E30" s="17" t="s">
        <v>89</v>
      </c>
      <c r="F30" s="3" t="s">
        <v>89</v>
      </c>
      <c r="G30" s="5" t="s">
        <v>89</v>
      </c>
      <c r="H30" s="16" t="s">
        <v>89</v>
      </c>
      <c r="I30" s="5" t="s">
        <v>89</v>
      </c>
      <c r="J30" s="16" t="s">
        <v>89</v>
      </c>
      <c r="K30" s="5" t="s">
        <v>89</v>
      </c>
      <c r="L30" s="3">
        <v>0.99997000000000003</v>
      </c>
      <c r="M30" s="27">
        <f xml:space="preserve"> 0.9894</f>
        <v>0.98939999999999995</v>
      </c>
      <c r="N30" s="3">
        <v>0.79405999999999999</v>
      </c>
      <c r="O30" s="29">
        <f xml:space="preserve"> 0.07242</f>
        <v>7.2419999999999998E-2</v>
      </c>
      <c r="P30" s="27" t="s">
        <v>12</v>
      </c>
      <c r="Q30" s="36">
        <v>0.34525</v>
      </c>
      <c r="R30" s="38">
        <v>6.7710000000000001E-13</v>
      </c>
      <c r="S30" s="38">
        <v>0.37667</v>
      </c>
      <c r="T30" s="38">
        <v>6.8799999999999998E-11</v>
      </c>
      <c r="U30" s="40" t="s">
        <v>15</v>
      </c>
    </row>
    <row r="31" spans="1:21" x14ac:dyDescent="0.25">
      <c r="A31" s="11" t="s">
        <v>41</v>
      </c>
      <c r="B31" s="3">
        <v>0.87794000000000005</v>
      </c>
      <c r="C31" s="27">
        <f xml:space="preserve"> 0.3299</f>
        <v>0.32990000000000003</v>
      </c>
      <c r="D31" s="3">
        <v>0.75478000000000001</v>
      </c>
      <c r="E31" s="16">
        <f xml:space="preserve"> 0.01058</f>
        <v>1.0580000000000001E-2</v>
      </c>
      <c r="F31" s="5" t="s">
        <v>15</v>
      </c>
      <c r="G31" s="3">
        <v>0.55830000000000002</v>
      </c>
      <c r="H31" s="16">
        <f xml:space="preserve"> 0.00005134</f>
        <v>5.134E-5</v>
      </c>
      <c r="I31" s="3">
        <v>0.47192000000000001</v>
      </c>
      <c r="J31" s="16">
        <f xml:space="preserve"> 0.000004728</f>
        <v>4.7280000000000003E-6</v>
      </c>
      <c r="K31" s="5" t="s">
        <v>15</v>
      </c>
      <c r="L31" s="3">
        <v>0.84858</v>
      </c>
      <c r="M31" s="27">
        <f xml:space="preserve"> 0.07189</f>
        <v>7.1889999999999996E-2</v>
      </c>
      <c r="N31" s="3">
        <v>0.76653000000000004</v>
      </c>
      <c r="O31" s="5">
        <f xml:space="preserve"> 0.04204</f>
        <v>4.2040000000000001E-2</v>
      </c>
      <c r="P31" s="16" t="s">
        <v>15</v>
      </c>
      <c r="Q31" s="36">
        <v>0.63787000000000005</v>
      </c>
      <c r="R31" s="38">
        <v>2.7139999999999999E-9</v>
      </c>
      <c r="S31" s="38">
        <v>0.35943999999999998</v>
      </c>
      <c r="T31" s="38">
        <v>4.7300000000000001E-11</v>
      </c>
      <c r="U31" s="40" t="s">
        <v>15</v>
      </c>
    </row>
    <row r="32" spans="1:21" x14ac:dyDescent="0.25">
      <c r="A32" s="11" t="s">
        <v>42</v>
      </c>
      <c r="B32" s="3" t="s">
        <v>89</v>
      </c>
      <c r="C32" s="17" t="s">
        <v>89</v>
      </c>
      <c r="D32" s="3" t="s">
        <v>89</v>
      </c>
      <c r="E32" s="17" t="s">
        <v>89</v>
      </c>
      <c r="F32" s="3" t="s">
        <v>89</v>
      </c>
      <c r="G32" s="5" t="s">
        <v>89</v>
      </c>
      <c r="H32" s="16" t="s">
        <v>89</v>
      </c>
      <c r="I32" s="3">
        <v>0.88600000000000001</v>
      </c>
      <c r="J32" s="27">
        <f xml:space="preserve"> 0.3422</f>
        <v>0.3422</v>
      </c>
      <c r="K32" s="29" t="s">
        <v>89</v>
      </c>
      <c r="L32" s="5" t="s">
        <v>89</v>
      </c>
      <c r="M32" s="16" t="s">
        <v>89</v>
      </c>
      <c r="N32" s="3">
        <v>0.96745999999999999</v>
      </c>
      <c r="O32" s="29">
        <f xml:space="preserve"> 0.8257</f>
        <v>0.82569999999999999</v>
      </c>
      <c r="P32" s="27" t="s">
        <v>89</v>
      </c>
      <c r="Q32" s="36">
        <v>0.36964999999999998</v>
      </c>
      <c r="R32" s="38">
        <v>1.207E-12</v>
      </c>
      <c r="S32" s="38">
        <v>0.49911</v>
      </c>
      <c r="T32" s="38">
        <v>1.239E-9</v>
      </c>
      <c r="U32" s="40" t="s">
        <v>15</v>
      </c>
    </row>
    <row r="33" spans="1:21" x14ac:dyDescent="0.25">
      <c r="A33" s="11" t="s">
        <v>43</v>
      </c>
      <c r="B33" s="3" t="s">
        <v>89</v>
      </c>
      <c r="C33" s="17" t="s">
        <v>89</v>
      </c>
      <c r="D33" s="3" t="s">
        <v>89</v>
      </c>
      <c r="E33" s="17" t="s">
        <v>89</v>
      </c>
      <c r="F33" s="3" t="s">
        <v>89</v>
      </c>
      <c r="G33" s="5" t="s">
        <v>89</v>
      </c>
      <c r="H33" s="16" t="s">
        <v>89</v>
      </c>
      <c r="I33" s="5" t="s">
        <v>89</v>
      </c>
      <c r="J33" s="16" t="s">
        <v>89</v>
      </c>
      <c r="K33" s="5" t="s">
        <v>89</v>
      </c>
      <c r="L33" s="5" t="s">
        <v>89</v>
      </c>
      <c r="M33" s="16" t="s">
        <v>89</v>
      </c>
      <c r="N33" s="5" t="s">
        <v>89</v>
      </c>
      <c r="O33" s="5" t="s">
        <v>89</v>
      </c>
      <c r="P33" s="16" t="s">
        <v>89</v>
      </c>
      <c r="Q33" s="36">
        <v>0.13525000000000001</v>
      </c>
      <c r="R33" s="38">
        <v>8.0649999999999999E-15</v>
      </c>
      <c r="S33" s="38">
        <v>0.16474</v>
      </c>
      <c r="T33" s="38">
        <v>1.0450000000000001E-12</v>
      </c>
      <c r="U33" s="40" t="s">
        <v>15</v>
      </c>
    </row>
    <row r="34" spans="1:21" x14ac:dyDescent="0.25">
      <c r="A34" s="11" t="s">
        <v>46</v>
      </c>
      <c r="B34" s="3" t="s">
        <v>89</v>
      </c>
      <c r="C34" s="17" t="s">
        <v>89</v>
      </c>
      <c r="D34" s="3" t="s">
        <v>89</v>
      </c>
      <c r="E34" s="17" t="s">
        <v>89</v>
      </c>
      <c r="F34" s="3" t="s">
        <v>89</v>
      </c>
      <c r="G34" s="5" t="s">
        <v>89</v>
      </c>
      <c r="H34" s="16" t="s">
        <v>89</v>
      </c>
      <c r="I34" s="5" t="s">
        <v>89</v>
      </c>
      <c r="J34" s="16" t="s">
        <v>89</v>
      </c>
      <c r="K34" s="5" t="s">
        <v>89</v>
      </c>
      <c r="L34" s="5" t="s">
        <v>89</v>
      </c>
      <c r="M34" s="16" t="s">
        <v>89</v>
      </c>
      <c r="N34" s="5" t="s">
        <v>89</v>
      </c>
      <c r="O34" s="5" t="s">
        <v>89</v>
      </c>
      <c r="P34" s="16" t="s">
        <v>89</v>
      </c>
      <c r="Q34" s="36" t="s">
        <v>44</v>
      </c>
      <c r="R34" s="38" t="s">
        <v>89</v>
      </c>
      <c r="S34" s="38">
        <v>0.16474</v>
      </c>
      <c r="T34" s="38">
        <v>1.0450000000000001E-12</v>
      </c>
      <c r="U34" s="40" t="s">
        <v>15</v>
      </c>
    </row>
    <row r="35" spans="1:21" x14ac:dyDescent="0.25">
      <c r="A35" s="11" t="s">
        <v>47</v>
      </c>
      <c r="B35" s="3" t="s">
        <v>89</v>
      </c>
      <c r="C35" s="17" t="s">
        <v>89</v>
      </c>
      <c r="D35" s="3" t="s">
        <v>89</v>
      </c>
      <c r="E35" s="17" t="s">
        <v>89</v>
      </c>
      <c r="F35" s="3" t="s">
        <v>89</v>
      </c>
      <c r="G35" s="5" t="s">
        <v>89</v>
      </c>
      <c r="H35" s="16" t="s">
        <v>89</v>
      </c>
      <c r="I35" s="5" t="s">
        <v>89</v>
      </c>
      <c r="J35" s="16" t="s">
        <v>89</v>
      </c>
      <c r="K35" s="5" t="s">
        <v>89</v>
      </c>
      <c r="L35" s="5" t="s">
        <v>89</v>
      </c>
      <c r="M35" s="16" t="s">
        <v>89</v>
      </c>
      <c r="N35" s="5" t="s">
        <v>89</v>
      </c>
      <c r="O35" s="5" t="s">
        <v>89</v>
      </c>
      <c r="P35" s="16" t="s">
        <v>89</v>
      </c>
      <c r="Q35" s="36" t="s">
        <v>44</v>
      </c>
      <c r="R35" s="38" t="s">
        <v>89</v>
      </c>
      <c r="S35" s="38">
        <v>0.28270000000000001</v>
      </c>
      <c r="T35" s="38">
        <v>9.6549999999999996E-12</v>
      </c>
      <c r="U35" s="40" t="s">
        <v>89</v>
      </c>
    </row>
    <row r="36" spans="1:21" x14ac:dyDescent="0.25">
      <c r="A36" s="10" t="s">
        <v>48</v>
      </c>
      <c r="B36" s="3">
        <v>0.90195000000000003</v>
      </c>
      <c r="C36" s="27">
        <f xml:space="preserve"> 0.1953</f>
        <v>0.1953</v>
      </c>
      <c r="D36" s="3">
        <v>0.97638999999999998</v>
      </c>
      <c r="E36" s="27">
        <f xml:space="preserve"> 0.9429</f>
        <v>0.94289999999999996</v>
      </c>
      <c r="F36" s="29" t="s">
        <v>12</v>
      </c>
      <c r="G36" s="3">
        <v>0.81682999999999995</v>
      </c>
      <c r="H36" s="16">
        <f xml:space="preserve"> 0.003484</f>
        <v>3.4840000000000001E-3</v>
      </c>
      <c r="I36" s="3">
        <v>0.91383999999999999</v>
      </c>
      <c r="J36" s="27">
        <f xml:space="preserve"> 0.2706</f>
        <v>0.27060000000000001</v>
      </c>
      <c r="K36" s="5" t="s">
        <v>15</v>
      </c>
      <c r="L36" s="3">
        <v>0.83103000000000005</v>
      </c>
      <c r="M36" s="16">
        <f xml:space="preserve"> 0.005583</f>
        <v>5.5830000000000003E-3</v>
      </c>
      <c r="N36" s="3">
        <v>0.90519000000000005</v>
      </c>
      <c r="O36" s="29">
        <f xml:space="preserve"> 0.1143</f>
        <v>0.1143</v>
      </c>
      <c r="P36" s="27" t="s">
        <v>15</v>
      </c>
      <c r="Q36" s="36">
        <v>0.84089000000000003</v>
      </c>
      <c r="R36" s="38">
        <v>2.1520000000000001E-5</v>
      </c>
      <c r="S36" s="38">
        <v>0.94225999999999999</v>
      </c>
      <c r="T36" s="37">
        <v>7.2010000000000005E-2</v>
      </c>
      <c r="U36" s="40" t="s">
        <v>15</v>
      </c>
    </row>
    <row r="37" spans="1:21" x14ac:dyDescent="0.25">
      <c r="A37" s="12" t="s">
        <v>85</v>
      </c>
      <c r="B37" s="4">
        <v>0.95247000000000004</v>
      </c>
      <c r="C37" s="28">
        <f xml:space="preserve"> 0.6756</f>
        <v>0.67559999999999998</v>
      </c>
      <c r="D37" s="4">
        <v>0.93657999999999997</v>
      </c>
      <c r="E37" s="28">
        <f xml:space="preserve"> 0.5777</f>
        <v>0.57769999999999999</v>
      </c>
      <c r="F37" s="30" t="s">
        <v>12</v>
      </c>
      <c r="G37" s="4">
        <v>0.89156000000000002</v>
      </c>
      <c r="H37" s="18">
        <f xml:space="preserve"> 0.04917</f>
        <v>4.9169999999999998E-2</v>
      </c>
      <c r="I37" s="4">
        <v>0.95576000000000005</v>
      </c>
      <c r="J37" s="28">
        <f xml:space="preserve"> 0.7179</f>
        <v>0.71789999999999998</v>
      </c>
      <c r="K37" s="44" t="s">
        <v>15</v>
      </c>
      <c r="L37" s="4">
        <v>0.95125999999999999</v>
      </c>
      <c r="M37" s="28">
        <f xml:space="preserve"> 0.4768</f>
        <v>0.4768</v>
      </c>
      <c r="N37" s="4">
        <v>0.89893999999999996</v>
      </c>
      <c r="O37" s="30">
        <f xml:space="preserve"> 0.09168</f>
        <v>9.1679999999999998E-2</v>
      </c>
      <c r="P37" s="28" t="s">
        <v>12</v>
      </c>
      <c r="Q37" s="41">
        <v>0.93891999999999998</v>
      </c>
      <c r="R37" s="42">
        <v>1.9640000000000001E-2</v>
      </c>
      <c r="S37" s="42">
        <v>0.94305000000000005</v>
      </c>
      <c r="T37" s="43">
        <v>7.603E-2</v>
      </c>
      <c r="U37" s="45" t="s">
        <v>15</v>
      </c>
    </row>
  </sheetData>
  <mergeCells count="16">
    <mergeCell ref="B1:F1"/>
    <mergeCell ref="G1:K1"/>
    <mergeCell ref="L1:P1"/>
    <mergeCell ref="Q1:U1"/>
    <mergeCell ref="F2:F3"/>
    <mergeCell ref="K2:K3"/>
    <mergeCell ref="P2:P3"/>
    <mergeCell ref="U2:U3"/>
    <mergeCell ref="Q2:R2"/>
    <mergeCell ref="S2:T2"/>
    <mergeCell ref="B2:C2"/>
    <mergeCell ref="D2:E2"/>
    <mergeCell ref="G2:H2"/>
    <mergeCell ref="I2:J2"/>
    <mergeCell ref="L2:M2"/>
    <mergeCell ref="N2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C7FC6-8CFA-44BD-B7F2-D5B38016A6E9}">
  <dimension ref="A1:F41"/>
  <sheetViews>
    <sheetView topLeftCell="A20" workbookViewId="0">
      <selection activeCell="F1" sqref="A1:F1048576"/>
    </sheetView>
  </sheetViews>
  <sheetFormatPr defaultRowHeight="15" x14ac:dyDescent="0.25"/>
  <cols>
    <col min="2" max="2" width="18.140625" bestFit="1" customWidth="1"/>
    <col min="6" max="6" width="11.7109375" customWidth="1"/>
  </cols>
  <sheetData>
    <row r="1" spans="1:6" ht="30" x14ac:dyDescent="0.25">
      <c r="A1" s="35" t="s">
        <v>90</v>
      </c>
      <c r="B1" s="35" t="s">
        <v>8</v>
      </c>
      <c r="C1" s="35" t="s">
        <v>49</v>
      </c>
      <c r="D1" s="35" t="s">
        <v>53</v>
      </c>
      <c r="E1" s="35" t="s">
        <v>10</v>
      </c>
      <c r="F1" s="46" t="s">
        <v>50</v>
      </c>
    </row>
    <row r="2" spans="1:6" x14ac:dyDescent="0.25">
      <c r="A2" s="112" t="s">
        <v>7</v>
      </c>
      <c r="B2" s="8" t="s">
        <v>17</v>
      </c>
      <c r="C2" s="47">
        <v>-0.23038</v>
      </c>
      <c r="D2" s="48">
        <v>16.55</v>
      </c>
      <c r="E2" s="48">
        <v>0.8206</v>
      </c>
      <c r="F2" s="34" t="str">
        <f>IF(E2&lt;0.05,"Yes","No")</f>
        <v>No</v>
      </c>
    </row>
    <row r="3" spans="1:6" ht="18" x14ac:dyDescent="0.35">
      <c r="A3" s="113"/>
      <c r="B3" s="9" t="s">
        <v>86</v>
      </c>
      <c r="C3" s="17">
        <v>0.25485000000000002</v>
      </c>
      <c r="D3" s="16">
        <v>15.787000000000001</v>
      </c>
      <c r="E3" s="16">
        <v>0.80210000000000004</v>
      </c>
      <c r="F3" s="25" t="str">
        <f t="shared" ref="F3:F10" si="0">IF(E3&lt;0.05,"Yes","No")</f>
        <v>No</v>
      </c>
    </row>
    <row r="4" spans="1:6" x14ac:dyDescent="0.25">
      <c r="A4" s="113"/>
      <c r="B4" s="9" t="s">
        <v>26</v>
      </c>
      <c r="C4" s="17">
        <v>-0.24009</v>
      </c>
      <c r="D4" s="16">
        <v>16.670999999999999</v>
      </c>
      <c r="E4" s="16">
        <v>0.81320000000000003</v>
      </c>
      <c r="F4" s="25" t="str">
        <f t="shared" si="0"/>
        <v>No</v>
      </c>
    </row>
    <row r="5" spans="1:6" x14ac:dyDescent="0.25">
      <c r="A5" s="113"/>
      <c r="B5" s="9" t="s">
        <v>91</v>
      </c>
      <c r="C5" s="17">
        <v>0.89205999999999996</v>
      </c>
      <c r="D5" s="16">
        <v>16.940000000000001</v>
      </c>
      <c r="E5" s="16">
        <v>0.38490000000000002</v>
      </c>
      <c r="F5" s="25" t="str">
        <f t="shared" si="0"/>
        <v>No</v>
      </c>
    </row>
    <row r="6" spans="1:6" x14ac:dyDescent="0.25">
      <c r="A6" s="113"/>
      <c r="B6" s="9" t="s">
        <v>35</v>
      </c>
      <c r="C6" s="17">
        <v>9.7414000000000008E-3</v>
      </c>
      <c r="D6" s="16">
        <v>16.87</v>
      </c>
      <c r="E6" s="16">
        <v>0.99229999999999996</v>
      </c>
      <c r="F6" s="25" t="str">
        <f t="shared" si="0"/>
        <v>No</v>
      </c>
    </row>
    <row r="7" spans="1:6" x14ac:dyDescent="0.25">
      <c r="A7" s="113"/>
      <c r="B7" s="11" t="s">
        <v>31</v>
      </c>
      <c r="C7" s="17">
        <v>-3.9091</v>
      </c>
      <c r="D7" s="16">
        <v>7.2592999999999996</v>
      </c>
      <c r="E7" s="16">
        <v>5.4279999999999997E-3</v>
      </c>
      <c r="F7" s="24" t="str">
        <f t="shared" si="0"/>
        <v>Yes</v>
      </c>
    </row>
    <row r="8" spans="1:6" x14ac:dyDescent="0.25">
      <c r="A8" s="113"/>
      <c r="B8" s="11" t="s">
        <v>33</v>
      </c>
      <c r="C8" s="17">
        <v>0.81911</v>
      </c>
      <c r="D8" s="16">
        <v>11.997999999999999</v>
      </c>
      <c r="E8" s="16">
        <v>0.42870000000000003</v>
      </c>
      <c r="F8" s="25" t="str">
        <f t="shared" si="0"/>
        <v>No</v>
      </c>
    </row>
    <row r="9" spans="1:6" x14ac:dyDescent="0.25">
      <c r="A9" s="113"/>
      <c r="B9" s="10" t="s">
        <v>48</v>
      </c>
      <c r="C9" s="17">
        <v>-0.63251999999999997</v>
      </c>
      <c r="D9" s="16">
        <v>16.591000000000001</v>
      </c>
      <c r="E9" s="16">
        <v>0.53569999999999995</v>
      </c>
      <c r="F9" s="25" t="str">
        <f t="shared" si="0"/>
        <v>No</v>
      </c>
    </row>
    <row r="10" spans="1:6" x14ac:dyDescent="0.25">
      <c r="A10" s="114"/>
      <c r="B10" s="12" t="s">
        <v>85</v>
      </c>
      <c r="C10" s="49">
        <v>-0.58052999999999999</v>
      </c>
      <c r="D10" s="18">
        <v>13.513</v>
      </c>
      <c r="E10" s="18">
        <v>0.57110000000000005</v>
      </c>
      <c r="F10" s="26" t="str">
        <f t="shared" si="0"/>
        <v>No</v>
      </c>
    </row>
    <row r="11" spans="1:6" x14ac:dyDescent="0.25">
      <c r="A11" s="112" t="s">
        <v>6</v>
      </c>
      <c r="B11" s="8" t="s">
        <v>11</v>
      </c>
      <c r="C11" s="47">
        <v>1.8907</v>
      </c>
      <c r="D11" s="48">
        <v>13.505000000000001</v>
      </c>
      <c r="E11" s="48">
        <v>8.0310000000000006E-2</v>
      </c>
      <c r="F11" s="34" t="str">
        <f>IF(E11&lt;0.05,"Yes","No")</f>
        <v>No</v>
      </c>
    </row>
    <row r="12" spans="1:6" x14ac:dyDescent="0.25">
      <c r="A12" s="113"/>
      <c r="B12" s="9" t="s">
        <v>13</v>
      </c>
      <c r="C12" s="17">
        <v>-2.8738000000000001</v>
      </c>
      <c r="D12" s="16">
        <v>25.998000000000001</v>
      </c>
      <c r="E12" s="16">
        <v>7.9780000000000007E-3</v>
      </c>
      <c r="F12" s="24" t="str">
        <f t="shared" ref="F12:F20" si="1">IF(E12&lt;0.05,"Yes","No")</f>
        <v>Yes</v>
      </c>
    </row>
    <row r="13" spans="1:6" x14ac:dyDescent="0.25">
      <c r="A13" s="113"/>
      <c r="B13" s="9" t="s">
        <v>17</v>
      </c>
      <c r="C13" s="17">
        <v>-1.0076000000000001</v>
      </c>
      <c r="D13" s="16">
        <v>18.701000000000001</v>
      </c>
      <c r="E13" s="16">
        <v>0.32650000000000001</v>
      </c>
      <c r="F13" s="25" t="str">
        <f t="shared" si="1"/>
        <v>No</v>
      </c>
    </row>
    <row r="14" spans="1:6" x14ac:dyDescent="0.25">
      <c r="A14" s="113"/>
      <c r="B14" s="9" t="s">
        <v>20</v>
      </c>
      <c r="C14" s="17">
        <v>-0.96923000000000004</v>
      </c>
      <c r="D14" s="16">
        <v>24.564</v>
      </c>
      <c r="E14" s="16">
        <v>0.34189999999999998</v>
      </c>
      <c r="F14" s="25" t="str">
        <f t="shared" si="1"/>
        <v>No</v>
      </c>
    </row>
    <row r="15" spans="1:6" ht="18" x14ac:dyDescent="0.35">
      <c r="A15" s="113"/>
      <c r="B15" s="9" t="s">
        <v>86</v>
      </c>
      <c r="C15" s="17">
        <v>0.80730999999999997</v>
      </c>
      <c r="D15" s="16">
        <v>16.024999999999999</v>
      </c>
      <c r="E15" s="16">
        <v>0.43130000000000002</v>
      </c>
      <c r="F15" s="25" t="str">
        <f t="shared" si="1"/>
        <v>No</v>
      </c>
    </row>
    <row r="16" spans="1:6" ht="18" x14ac:dyDescent="0.35">
      <c r="A16" s="113"/>
      <c r="B16" s="9" t="s">
        <v>87</v>
      </c>
      <c r="C16" s="17">
        <v>-0.97694999999999999</v>
      </c>
      <c r="D16" s="16">
        <v>15.443</v>
      </c>
      <c r="E16" s="16">
        <v>0.34370000000000001</v>
      </c>
      <c r="F16" s="25" t="str">
        <f t="shared" si="1"/>
        <v>No</v>
      </c>
    </row>
    <row r="17" spans="1:6" x14ac:dyDescent="0.25">
      <c r="A17" s="113"/>
      <c r="B17" s="9" t="s">
        <v>26</v>
      </c>
      <c r="C17" s="17">
        <v>-0.99051999999999996</v>
      </c>
      <c r="D17" s="16">
        <v>16.398</v>
      </c>
      <c r="E17" s="16">
        <v>0.33629999999999999</v>
      </c>
      <c r="F17" s="25" t="str">
        <f t="shared" si="1"/>
        <v>No</v>
      </c>
    </row>
    <row r="18" spans="1:6" x14ac:dyDescent="0.25">
      <c r="A18" s="113"/>
      <c r="B18" s="9" t="s">
        <v>92</v>
      </c>
      <c r="C18" s="17">
        <v>0.6381</v>
      </c>
      <c r="D18" s="16">
        <v>16.905000000000001</v>
      </c>
      <c r="E18" s="16">
        <v>0.53200000000000003</v>
      </c>
      <c r="F18" s="25" t="str">
        <f t="shared" si="1"/>
        <v>No</v>
      </c>
    </row>
    <row r="19" spans="1:6" ht="18" x14ac:dyDescent="0.35">
      <c r="A19" s="113"/>
      <c r="B19" s="9" t="s">
        <v>51</v>
      </c>
      <c r="C19" s="17">
        <v>0.80274999999999996</v>
      </c>
      <c r="D19" s="16">
        <v>16.297000000000001</v>
      </c>
      <c r="E19" s="16">
        <v>0.43369999999999997</v>
      </c>
      <c r="F19" s="25" t="str">
        <f t="shared" si="1"/>
        <v>No</v>
      </c>
    </row>
    <row r="20" spans="1:6" ht="18" x14ac:dyDescent="0.35">
      <c r="A20" s="114"/>
      <c r="B20" s="50" t="s">
        <v>52</v>
      </c>
      <c r="C20" s="49">
        <v>0.78027000000000002</v>
      </c>
      <c r="D20" s="18">
        <v>16.155000000000001</v>
      </c>
      <c r="E20" s="18">
        <v>0.44650000000000001</v>
      </c>
      <c r="F20" s="26" t="str">
        <f t="shared" si="1"/>
        <v>No</v>
      </c>
    </row>
    <row r="21" spans="1:6" x14ac:dyDescent="0.25">
      <c r="A21" s="112" t="s">
        <v>5</v>
      </c>
      <c r="B21" s="8" t="s">
        <v>11</v>
      </c>
      <c r="C21" s="47">
        <v>-1.016</v>
      </c>
      <c r="D21" s="48">
        <v>23.364999999999998</v>
      </c>
      <c r="E21" s="48">
        <v>0.32</v>
      </c>
      <c r="F21" s="34" t="str">
        <f>IF(E21&lt;0.05,"Yes","No")</f>
        <v>No</v>
      </c>
    </row>
    <row r="22" spans="1:6" x14ac:dyDescent="0.25">
      <c r="A22" s="113"/>
      <c r="B22" s="9" t="s">
        <v>17</v>
      </c>
      <c r="C22" s="17">
        <v>0.97430000000000005</v>
      </c>
      <c r="D22" s="16">
        <v>25.911000000000001</v>
      </c>
      <c r="E22" s="16">
        <v>0.33889999999999998</v>
      </c>
      <c r="F22" s="25" t="str">
        <f t="shared" ref="F22:F33" si="2">IF(E22&lt;0.05,"Yes","No")</f>
        <v>No</v>
      </c>
    </row>
    <row r="23" spans="1:6" x14ac:dyDescent="0.25">
      <c r="A23" s="113"/>
      <c r="B23" s="9" t="s">
        <v>20</v>
      </c>
      <c r="C23" s="17">
        <v>-0.63937999999999995</v>
      </c>
      <c r="D23" s="16">
        <v>25.013999999999999</v>
      </c>
      <c r="E23" s="16">
        <v>0.52839999999999998</v>
      </c>
      <c r="F23" s="25" t="str">
        <f t="shared" si="2"/>
        <v>No</v>
      </c>
    </row>
    <row r="24" spans="1:6" ht="18" x14ac:dyDescent="0.35">
      <c r="A24" s="113"/>
      <c r="B24" s="9" t="s">
        <v>86</v>
      </c>
      <c r="C24" s="17">
        <v>-2.1831</v>
      </c>
      <c r="D24" s="16">
        <v>18.408999999999999</v>
      </c>
      <c r="E24" s="16">
        <v>4.2200000000000001E-2</v>
      </c>
      <c r="F24" s="24" t="str">
        <f t="shared" si="2"/>
        <v>Yes</v>
      </c>
    </row>
    <row r="25" spans="1:6" ht="18" x14ac:dyDescent="0.35">
      <c r="A25" s="113"/>
      <c r="B25" s="9" t="s">
        <v>87</v>
      </c>
      <c r="C25" s="17">
        <v>2.3957000000000002</v>
      </c>
      <c r="D25" s="16">
        <v>15.93</v>
      </c>
      <c r="E25" s="16">
        <v>2.9229999999999999E-2</v>
      </c>
      <c r="F25" s="24" t="str">
        <f t="shared" si="2"/>
        <v>Yes</v>
      </c>
    </row>
    <row r="26" spans="1:6" x14ac:dyDescent="0.25">
      <c r="A26" s="113"/>
      <c r="B26" s="9" t="s">
        <v>26</v>
      </c>
      <c r="C26" s="17">
        <v>1.6839999999999999</v>
      </c>
      <c r="D26" s="16">
        <v>25.504000000000001</v>
      </c>
      <c r="E26" s="16">
        <v>0.10440000000000001</v>
      </c>
      <c r="F26" s="25" t="str">
        <f t="shared" si="2"/>
        <v>No</v>
      </c>
    </row>
    <row r="27" spans="1:6" ht="18" x14ac:dyDescent="0.35">
      <c r="A27" s="113"/>
      <c r="B27" s="9" t="s">
        <v>51</v>
      </c>
      <c r="C27" s="17">
        <v>-2.1848000000000001</v>
      </c>
      <c r="D27" s="16">
        <v>21.654</v>
      </c>
      <c r="E27" s="16">
        <v>4.002E-2</v>
      </c>
      <c r="F27" s="24" t="str">
        <f t="shared" si="2"/>
        <v>Yes</v>
      </c>
    </row>
    <row r="28" spans="1:6" ht="18" x14ac:dyDescent="0.35">
      <c r="A28" s="113"/>
      <c r="B28" s="9" t="s">
        <v>52</v>
      </c>
      <c r="C28" s="17">
        <v>-2.2233999999999998</v>
      </c>
      <c r="D28" s="16">
        <v>21.83</v>
      </c>
      <c r="E28" s="16">
        <v>3.6859999999999997E-2</v>
      </c>
      <c r="F28" s="24" t="str">
        <f t="shared" si="2"/>
        <v>Yes</v>
      </c>
    </row>
    <row r="29" spans="1:6" x14ac:dyDescent="0.25">
      <c r="A29" s="113"/>
      <c r="B29" s="9" t="s">
        <v>35</v>
      </c>
      <c r="C29" s="17">
        <v>-0.86751</v>
      </c>
      <c r="D29" s="16">
        <v>29.856000000000002</v>
      </c>
      <c r="E29" s="16">
        <v>0.3926</v>
      </c>
      <c r="F29" s="25" t="str">
        <f t="shared" si="2"/>
        <v>No</v>
      </c>
    </row>
    <row r="30" spans="1:6" x14ac:dyDescent="0.25">
      <c r="A30" s="113"/>
      <c r="B30" s="11" t="s">
        <v>38</v>
      </c>
      <c r="C30" s="17">
        <v>0.18712000000000001</v>
      </c>
      <c r="D30" s="16">
        <v>7.0523999999999996</v>
      </c>
      <c r="E30" s="16">
        <v>0.85680000000000001</v>
      </c>
      <c r="F30" s="25" t="str">
        <f t="shared" si="2"/>
        <v>No</v>
      </c>
    </row>
    <row r="31" spans="1:6" x14ac:dyDescent="0.25">
      <c r="A31" s="113"/>
      <c r="B31" s="11" t="s">
        <v>40</v>
      </c>
      <c r="C31" s="17">
        <v>-1.109</v>
      </c>
      <c r="D31" s="16">
        <v>5.2916999999999996</v>
      </c>
      <c r="E31" s="16">
        <v>0.31530000000000002</v>
      </c>
      <c r="F31" s="25" t="str">
        <f t="shared" si="2"/>
        <v>No</v>
      </c>
    </row>
    <row r="32" spans="1:6" x14ac:dyDescent="0.25">
      <c r="A32" s="113"/>
      <c r="B32" s="11" t="s">
        <v>42</v>
      </c>
      <c r="C32" s="17">
        <v>-3.6798999999999999</v>
      </c>
      <c r="D32" s="16">
        <v>3.6368</v>
      </c>
      <c r="E32" s="16">
        <v>2.503E-2</v>
      </c>
      <c r="F32" s="24" t="str">
        <f t="shared" si="2"/>
        <v>Yes</v>
      </c>
    </row>
    <row r="33" spans="1:6" x14ac:dyDescent="0.25">
      <c r="A33" s="114"/>
      <c r="B33" s="12" t="s">
        <v>85</v>
      </c>
      <c r="C33" s="49">
        <v>-1.502</v>
      </c>
      <c r="D33" s="18">
        <v>28.713999999999999</v>
      </c>
      <c r="E33" s="18">
        <v>0.14399999999999999</v>
      </c>
      <c r="F33" s="26" t="str">
        <f t="shared" si="2"/>
        <v>No</v>
      </c>
    </row>
    <row r="34" spans="1:6" x14ac:dyDescent="0.25">
      <c r="A34" s="112" t="s">
        <v>2</v>
      </c>
      <c r="B34" s="8" t="s">
        <v>11</v>
      </c>
      <c r="C34" s="51">
        <v>1.04</v>
      </c>
      <c r="D34" s="34">
        <v>51.308</v>
      </c>
      <c r="E34" s="51">
        <v>0.30549999999999999</v>
      </c>
      <c r="F34" s="46" t="s">
        <v>15</v>
      </c>
    </row>
    <row r="35" spans="1:6" x14ac:dyDescent="0.25">
      <c r="A35" s="113"/>
      <c r="B35" s="9" t="s">
        <v>17</v>
      </c>
      <c r="C35" s="10">
        <v>-0.22</v>
      </c>
      <c r="D35" s="25">
        <v>67.207999999999998</v>
      </c>
      <c r="E35" s="10">
        <v>0.82969999999999999</v>
      </c>
      <c r="F35" s="52" t="s">
        <v>15</v>
      </c>
    </row>
    <row r="36" spans="1:6" x14ac:dyDescent="0.25">
      <c r="A36" s="113"/>
      <c r="B36" s="9" t="s">
        <v>23</v>
      </c>
      <c r="C36" s="10">
        <v>-1.2</v>
      </c>
      <c r="D36" s="25">
        <v>68.974000000000004</v>
      </c>
      <c r="E36" s="10">
        <v>0.23280000000000001</v>
      </c>
      <c r="F36" s="52" t="s">
        <v>15</v>
      </c>
    </row>
    <row r="37" spans="1:6" x14ac:dyDescent="0.25">
      <c r="A37" s="113"/>
      <c r="B37" s="9" t="s">
        <v>26</v>
      </c>
      <c r="C37" s="10">
        <v>0.18</v>
      </c>
      <c r="D37" s="25">
        <v>64.593999999999994</v>
      </c>
      <c r="E37" s="10">
        <v>0.85629999999999995</v>
      </c>
      <c r="F37" s="52" t="s">
        <v>15</v>
      </c>
    </row>
    <row r="38" spans="1:6" x14ac:dyDescent="0.25">
      <c r="A38" s="113"/>
      <c r="B38" s="9" t="s">
        <v>27</v>
      </c>
      <c r="C38" s="10">
        <v>-1.4</v>
      </c>
      <c r="D38" s="25">
        <v>67.784000000000006</v>
      </c>
      <c r="E38" s="10">
        <v>0.16650000000000001</v>
      </c>
      <c r="F38" s="52" t="s">
        <v>15</v>
      </c>
    </row>
    <row r="39" spans="1:6" ht="18" x14ac:dyDescent="0.35">
      <c r="A39" s="113"/>
      <c r="B39" s="9" t="s">
        <v>51</v>
      </c>
      <c r="C39" s="10">
        <v>-1.27</v>
      </c>
      <c r="D39" s="25">
        <v>67.221000000000004</v>
      </c>
      <c r="E39" s="10">
        <v>0.20830000000000001</v>
      </c>
      <c r="F39" s="52" t="s">
        <v>15</v>
      </c>
    </row>
    <row r="40" spans="1:6" ht="18" x14ac:dyDescent="0.35">
      <c r="A40" s="113"/>
      <c r="B40" s="9" t="s">
        <v>52</v>
      </c>
      <c r="C40" s="10">
        <v>-1.3</v>
      </c>
      <c r="D40" s="25">
        <v>66.953999999999994</v>
      </c>
      <c r="E40" s="10">
        <v>0.1988</v>
      </c>
      <c r="F40" s="52" t="s">
        <v>15</v>
      </c>
    </row>
    <row r="41" spans="1:6" x14ac:dyDescent="0.25">
      <c r="A41" s="114"/>
      <c r="B41" s="50" t="s">
        <v>35</v>
      </c>
      <c r="C41" s="12">
        <v>-0.25</v>
      </c>
      <c r="D41" s="26">
        <v>68.628</v>
      </c>
      <c r="E41" s="12">
        <v>0.80700000000000005</v>
      </c>
      <c r="F41" s="53" t="s">
        <v>15</v>
      </c>
    </row>
  </sheetData>
  <mergeCells count="4">
    <mergeCell ref="A2:A10"/>
    <mergeCell ref="A11:A20"/>
    <mergeCell ref="A21:A33"/>
    <mergeCell ref="A34:A4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66CAA-A9A1-4D5A-BE70-2C0C286EAD6F}">
  <dimension ref="A1:E72"/>
  <sheetViews>
    <sheetView workbookViewId="0">
      <selection activeCell="F1" sqref="A1:F1048576"/>
    </sheetView>
  </sheetViews>
  <sheetFormatPr defaultRowHeight="15" x14ac:dyDescent="0.25"/>
  <cols>
    <col min="2" max="2" width="18.42578125" bestFit="1" customWidth="1"/>
    <col min="5" max="5" width="10.28515625" bestFit="1" customWidth="1"/>
  </cols>
  <sheetData>
    <row r="1" spans="1:5" ht="30" x14ac:dyDescent="0.25">
      <c r="A1" s="54" t="s">
        <v>90</v>
      </c>
      <c r="B1" s="54" t="s">
        <v>93</v>
      </c>
      <c r="C1" s="35" t="s">
        <v>9</v>
      </c>
      <c r="D1" s="35" t="s">
        <v>10</v>
      </c>
      <c r="E1" s="55" t="s">
        <v>50</v>
      </c>
    </row>
    <row r="2" spans="1:5" x14ac:dyDescent="0.25">
      <c r="A2" s="115" t="s">
        <v>7</v>
      </c>
      <c r="B2" s="8" t="s">
        <v>11</v>
      </c>
      <c r="C2" s="56">
        <v>52</v>
      </c>
      <c r="D2" s="48">
        <v>0.53359999999999996</v>
      </c>
      <c r="E2" s="6" t="str">
        <f>IF(D2&lt;0.05,"Yes","No")</f>
        <v>No</v>
      </c>
    </row>
    <row r="3" spans="1:5" x14ac:dyDescent="0.25">
      <c r="A3" s="116"/>
      <c r="B3" s="9" t="s">
        <v>13</v>
      </c>
      <c r="C3" s="57">
        <v>41</v>
      </c>
      <c r="D3" s="16">
        <v>0.83620000000000005</v>
      </c>
      <c r="E3" s="21" t="str">
        <f t="shared" ref="E3:E15" si="0">IF(D3&lt;0.05,"Yes","No")</f>
        <v>No</v>
      </c>
    </row>
    <row r="4" spans="1:5" x14ac:dyDescent="0.25">
      <c r="A4" s="116"/>
      <c r="B4" s="9" t="s">
        <v>20</v>
      </c>
      <c r="C4" s="57">
        <v>40</v>
      </c>
      <c r="D4" s="16">
        <v>0.77800000000000002</v>
      </c>
      <c r="E4" s="21" t="str">
        <f t="shared" si="0"/>
        <v>No</v>
      </c>
    </row>
    <row r="5" spans="1:5" ht="18" x14ac:dyDescent="0.35">
      <c r="A5" s="116"/>
      <c r="B5" s="9" t="s">
        <v>94</v>
      </c>
      <c r="C5" s="57">
        <v>38</v>
      </c>
      <c r="D5" s="16">
        <v>0.65739999999999998</v>
      </c>
      <c r="E5" s="21" t="str">
        <f t="shared" si="0"/>
        <v>No</v>
      </c>
    </row>
    <row r="6" spans="1:5" x14ac:dyDescent="0.25">
      <c r="A6" s="116"/>
      <c r="B6" s="9" t="s">
        <v>27</v>
      </c>
      <c r="C6" s="57">
        <v>41</v>
      </c>
      <c r="D6" s="16">
        <v>0.83640000000000003</v>
      </c>
      <c r="E6" s="21" t="str">
        <f t="shared" si="0"/>
        <v>No</v>
      </c>
    </row>
    <row r="7" spans="1:5" ht="18" x14ac:dyDescent="0.35">
      <c r="A7" s="116"/>
      <c r="B7" s="9" t="s">
        <v>51</v>
      </c>
      <c r="C7" s="57">
        <v>43.5</v>
      </c>
      <c r="D7" s="16">
        <v>1</v>
      </c>
      <c r="E7" s="21" t="str">
        <f t="shared" si="0"/>
        <v>No</v>
      </c>
    </row>
    <row r="8" spans="1:5" ht="18" x14ac:dyDescent="0.35">
      <c r="A8" s="116"/>
      <c r="B8" s="9" t="s">
        <v>52</v>
      </c>
      <c r="C8" s="57">
        <v>44.5</v>
      </c>
      <c r="D8" s="16">
        <v>1</v>
      </c>
      <c r="E8" s="21" t="str">
        <f t="shared" si="0"/>
        <v>No</v>
      </c>
    </row>
    <row r="9" spans="1:5" x14ac:dyDescent="0.25">
      <c r="A9" s="116"/>
      <c r="B9" s="9" t="s">
        <v>21</v>
      </c>
      <c r="C9" s="57">
        <v>44</v>
      </c>
      <c r="D9" s="16">
        <v>1</v>
      </c>
      <c r="E9" s="21" t="str">
        <f t="shared" si="0"/>
        <v>No</v>
      </c>
    </row>
    <row r="10" spans="1:5" x14ac:dyDescent="0.25">
      <c r="A10" s="116"/>
      <c r="B10" s="9" t="s">
        <v>25</v>
      </c>
      <c r="C10" s="57">
        <v>48</v>
      </c>
      <c r="D10" s="16">
        <v>0.77210000000000001</v>
      </c>
      <c r="E10" s="21" t="str">
        <f t="shared" si="0"/>
        <v>No</v>
      </c>
    </row>
    <row r="11" spans="1:5" x14ac:dyDescent="0.25">
      <c r="A11" s="116"/>
      <c r="B11" s="9" t="s">
        <v>19</v>
      </c>
      <c r="C11" s="57">
        <v>50.5</v>
      </c>
      <c r="D11" s="16">
        <v>0.61980000000000002</v>
      </c>
      <c r="E11" s="21" t="str">
        <f t="shared" si="0"/>
        <v>No</v>
      </c>
    </row>
    <row r="12" spans="1:5" x14ac:dyDescent="0.25">
      <c r="A12" s="116"/>
      <c r="B12" s="9" t="s">
        <v>22</v>
      </c>
      <c r="C12" s="57">
        <v>21</v>
      </c>
      <c r="D12" s="16">
        <v>6.2379999999999998E-2</v>
      </c>
      <c r="E12" s="21" t="str">
        <f t="shared" si="0"/>
        <v>No</v>
      </c>
    </row>
    <row r="13" spans="1:5" x14ac:dyDescent="0.25">
      <c r="A13" s="116"/>
      <c r="B13" s="10" t="s">
        <v>29</v>
      </c>
      <c r="C13" s="57">
        <v>38</v>
      </c>
      <c r="D13" s="16">
        <v>0.65739999999999998</v>
      </c>
      <c r="E13" s="21" t="str">
        <f t="shared" si="0"/>
        <v>No</v>
      </c>
    </row>
    <row r="14" spans="1:5" x14ac:dyDescent="0.25">
      <c r="A14" s="116"/>
      <c r="B14" s="11" t="s">
        <v>14</v>
      </c>
      <c r="C14" s="57">
        <v>53</v>
      </c>
      <c r="D14" s="16">
        <v>0.49199999999999999</v>
      </c>
      <c r="E14" s="21" t="str">
        <f t="shared" si="0"/>
        <v>No</v>
      </c>
    </row>
    <row r="15" spans="1:5" x14ac:dyDescent="0.25">
      <c r="A15" s="117"/>
      <c r="B15" s="58" t="s">
        <v>41</v>
      </c>
      <c r="C15" s="59">
        <v>8</v>
      </c>
      <c r="D15" s="18">
        <v>0.62860000000000005</v>
      </c>
      <c r="E15" s="60" t="str">
        <f t="shared" si="0"/>
        <v>No</v>
      </c>
    </row>
    <row r="16" spans="1:5" x14ac:dyDescent="0.25">
      <c r="A16" s="112" t="s">
        <v>6</v>
      </c>
      <c r="B16" s="9" t="s">
        <v>21</v>
      </c>
      <c r="C16" s="61">
        <v>75.5</v>
      </c>
      <c r="D16" s="48">
        <v>0.41010000000000002</v>
      </c>
      <c r="E16" s="6" t="str">
        <f>IF(D16&lt;0.05,"Yes","No")</f>
        <v>No</v>
      </c>
    </row>
    <row r="17" spans="1:5" x14ac:dyDescent="0.25">
      <c r="A17" s="113"/>
      <c r="B17" s="9" t="s">
        <v>24</v>
      </c>
      <c r="C17" s="62">
        <v>134.5</v>
      </c>
      <c r="D17" s="16">
        <v>5.6730000000000003E-2</v>
      </c>
      <c r="E17" s="21" t="str">
        <f t="shared" ref="E17:E31" si="1">IF(D17&lt;0.05,"Yes","No")</f>
        <v>No</v>
      </c>
    </row>
    <row r="18" spans="1:5" x14ac:dyDescent="0.25">
      <c r="A18" s="113"/>
      <c r="B18" s="9" t="s">
        <v>25</v>
      </c>
      <c r="C18" s="62">
        <v>70</v>
      </c>
      <c r="D18" s="16">
        <v>0.2792</v>
      </c>
      <c r="E18" s="21" t="str">
        <f t="shared" si="1"/>
        <v>No</v>
      </c>
    </row>
    <row r="19" spans="1:5" x14ac:dyDescent="0.25">
      <c r="A19" s="113"/>
      <c r="B19" s="9" t="s">
        <v>19</v>
      </c>
      <c r="C19" s="62">
        <v>137.5</v>
      </c>
      <c r="D19" s="16">
        <v>4.0680000000000001E-2</v>
      </c>
      <c r="E19" s="22" t="str">
        <f t="shared" si="1"/>
        <v>Yes</v>
      </c>
    </row>
    <row r="20" spans="1:5" x14ac:dyDescent="0.25">
      <c r="A20" s="113"/>
      <c r="B20" s="9" t="s">
        <v>35</v>
      </c>
      <c r="C20" s="62">
        <v>102</v>
      </c>
      <c r="D20" s="16">
        <v>0.70660000000000001</v>
      </c>
      <c r="E20" s="21" t="str">
        <f t="shared" si="1"/>
        <v>No</v>
      </c>
    </row>
    <row r="21" spans="1:5" x14ac:dyDescent="0.25">
      <c r="A21" s="113"/>
      <c r="B21" s="9" t="s">
        <v>22</v>
      </c>
      <c r="C21" s="62">
        <v>60</v>
      </c>
      <c r="D21" s="16">
        <v>0.1192</v>
      </c>
      <c r="E21" s="21" t="str">
        <f t="shared" si="1"/>
        <v>No</v>
      </c>
    </row>
    <row r="22" spans="1:5" x14ac:dyDescent="0.25">
      <c r="A22" s="113"/>
      <c r="B22" s="10" t="s">
        <v>29</v>
      </c>
      <c r="C22" s="62">
        <v>47</v>
      </c>
      <c r="D22" s="16">
        <v>2.8709999999999999E-2</v>
      </c>
      <c r="E22" s="22" t="str">
        <f t="shared" si="1"/>
        <v>Yes</v>
      </c>
    </row>
    <row r="23" spans="1:5" x14ac:dyDescent="0.25">
      <c r="A23" s="113"/>
      <c r="B23" s="11" t="s">
        <v>31</v>
      </c>
      <c r="C23" s="62">
        <v>16</v>
      </c>
      <c r="D23" s="16">
        <v>1.294E-3</v>
      </c>
      <c r="E23" s="22" t="str">
        <f t="shared" si="1"/>
        <v>Yes</v>
      </c>
    </row>
    <row r="24" spans="1:5" x14ac:dyDescent="0.25">
      <c r="A24" s="113"/>
      <c r="B24" s="11" t="s">
        <v>14</v>
      </c>
      <c r="C24" s="62">
        <v>111</v>
      </c>
      <c r="D24" s="16">
        <v>0.43030000000000002</v>
      </c>
      <c r="E24" s="21" t="str">
        <f t="shared" si="1"/>
        <v>No</v>
      </c>
    </row>
    <row r="25" spans="1:5" x14ac:dyDescent="0.25">
      <c r="A25" s="113"/>
      <c r="B25" s="11" t="s">
        <v>32</v>
      </c>
      <c r="C25" s="62">
        <v>18</v>
      </c>
      <c r="D25" s="16">
        <v>0.25940000000000002</v>
      </c>
      <c r="E25" s="21" t="str">
        <f t="shared" si="1"/>
        <v>No</v>
      </c>
    </row>
    <row r="26" spans="1:5" x14ac:dyDescent="0.25">
      <c r="A26" s="113"/>
      <c r="B26" s="11" t="s">
        <v>33</v>
      </c>
      <c r="C26" s="62">
        <v>8</v>
      </c>
      <c r="D26" s="16">
        <v>1.3520000000000001E-2</v>
      </c>
      <c r="E26" s="22" t="str">
        <f t="shared" si="1"/>
        <v>Yes</v>
      </c>
    </row>
    <row r="27" spans="1:5" x14ac:dyDescent="0.25">
      <c r="A27" s="113"/>
      <c r="B27" s="11" t="s">
        <v>34</v>
      </c>
      <c r="C27" s="62">
        <v>2</v>
      </c>
      <c r="D27" s="16">
        <v>3.6360000000000003E-2</v>
      </c>
      <c r="E27" s="22" t="str">
        <f t="shared" si="1"/>
        <v>Yes</v>
      </c>
    </row>
    <row r="28" spans="1:5" x14ac:dyDescent="0.25">
      <c r="A28" s="113"/>
      <c r="B28" s="11" t="s">
        <v>38</v>
      </c>
      <c r="C28" s="62">
        <v>10</v>
      </c>
      <c r="D28" s="16">
        <v>1</v>
      </c>
      <c r="E28" s="21" t="str">
        <f t="shared" si="1"/>
        <v>No</v>
      </c>
    </row>
    <row r="29" spans="1:5" x14ac:dyDescent="0.25">
      <c r="A29" s="113"/>
      <c r="B29" s="11" t="s">
        <v>41</v>
      </c>
      <c r="C29" s="62">
        <v>37.5</v>
      </c>
      <c r="D29" s="16">
        <v>0.59919999999999995</v>
      </c>
      <c r="E29" s="21" t="str">
        <f t="shared" si="1"/>
        <v>No</v>
      </c>
    </row>
    <row r="30" spans="1:5" x14ac:dyDescent="0.25">
      <c r="A30" s="113"/>
      <c r="B30" s="10" t="s">
        <v>48</v>
      </c>
      <c r="C30" s="62">
        <v>46</v>
      </c>
      <c r="D30" s="16">
        <v>2.6620000000000001E-2</v>
      </c>
      <c r="E30" s="22" t="str">
        <f t="shared" si="1"/>
        <v>Yes</v>
      </c>
    </row>
    <row r="31" spans="1:5" x14ac:dyDescent="0.25">
      <c r="A31" s="114"/>
      <c r="B31" s="12" t="s">
        <v>85</v>
      </c>
      <c r="C31" s="63">
        <v>46.5</v>
      </c>
      <c r="D31" s="18">
        <v>2.639E-2</v>
      </c>
      <c r="E31" s="23" t="str">
        <f t="shared" si="1"/>
        <v>Yes</v>
      </c>
    </row>
    <row r="32" spans="1:5" x14ac:dyDescent="0.25">
      <c r="A32" s="112" t="s">
        <v>5</v>
      </c>
      <c r="B32" s="8" t="s">
        <v>13</v>
      </c>
      <c r="C32" s="61">
        <v>75</v>
      </c>
      <c r="D32" s="48">
        <v>4.9299999999999997E-2</v>
      </c>
      <c r="E32" s="20" t="str">
        <f>IF(D32&lt;0.05,"Yes","No")</f>
        <v>Yes</v>
      </c>
    </row>
    <row r="33" spans="1:5" x14ac:dyDescent="0.25">
      <c r="A33" s="113"/>
      <c r="B33" s="9" t="s">
        <v>27</v>
      </c>
      <c r="C33" s="62">
        <v>51</v>
      </c>
      <c r="D33" s="16">
        <v>3.2500000000000001E-2</v>
      </c>
      <c r="E33" s="22" t="str">
        <f t="shared" ref="E33:E46" si="2">IF(D33&lt;0.05,"Yes","No")</f>
        <v>Yes</v>
      </c>
    </row>
    <row r="34" spans="1:5" x14ac:dyDescent="0.25">
      <c r="A34" s="113"/>
      <c r="B34" s="9" t="s">
        <v>21</v>
      </c>
      <c r="C34" s="62">
        <v>166.5</v>
      </c>
      <c r="D34" s="16">
        <v>0.1459</v>
      </c>
      <c r="E34" s="21" t="str">
        <f t="shared" si="2"/>
        <v>No</v>
      </c>
    </row>
    <row r="35" spans="1:5" x14ac:dyDescent="0.25">
      <c r="A35" s="113"/>
      <c r="B35" s="9" t="s">
        <v>24</v>
      </c>
      <c r="C35" s="62">
        <v>144.5</v>
      </c>
      <c r="D35" s="16">
        <v>0.53320000000000001</v>
      </c>
      <c r="E35" s="21" t="str">
        <f t="shared" si="2"/>
        <v>No</v>
      </c>
    </row>
    <row r="36" spans="1:5" x14ac:dyDescent="0.25">
      <c r="A36" s="113"/>
      <c r="B36" s="9" t="s">
        <v>25</v>
      </c>
      <c r="C36" s="62">
        <v>144.5</v>
      </c>
      <c r="D36" s="16">
        <v>0.53110000000000002</v>
      </c>
      <c r="E36" s="21" t="str">
        <f t="shared" si="2"/>
        <v>No</v>
      </c>
    </row>
    <row r="37" spans="1:5" x14ac:dyDescent="0.25">
      <c r="A37" s="113"/>
      <c r="B37" s="9" t="s">
        <v>19</v>
      </c>
      <c r="C37" s="62">
        <v>170</v>
      </c>
      <c r="D37" s="16">
        <v>0.11260000000000001</v>
      </c>
      <c r="E37" s="21" t="str">
        <f t="shared" si="2"/>
        <v>No</v>
      </c>
    </row>
    <row r="38" spans="1:5" x14ac:dyDescent="0.25">
      <c r="A38" s="113"/>
      <c r="B38" s="9" t="s">
        <v>22</v>
      </c>
      <c r="C38" s="62">
        <v>36</v>
      </c>
      <c r="D38" s="16">
        <v>5.6519999999999997E-4</v>
      </c>
      <c r="E38" s="22" t="str">
        <f t="shared" si="2"/>
        <v>Yes</v>
      </c>
    </row>
    <row r="39" spans="1:5" x14ac:dyDescent="0.25">
      <c r="A39" s="113"/>
      <c r="B39" s="10" t="s">
        <v>29</v>
      </c>
      <c r="C39" s="62">
        <v>70</v>
      </c>
      <c r="D39" s="16">
        <v>2.9940000000000001E-2</v>
      </c>
      <c r="E39" s="22" t="str">
        <f t="shared" si="2"/>
        <v>Yes</v>
      </c>
    </row>
    <row r="40" spans="1:5" x14ac:dyDescent="0.25">
      <c r="A40" s="113"/>
      <c r="B40" s="11" t="s">
        <v>31</v>
      </c>
      <c r="C40" s="62">
        <v>28</v>
      </c>
      <c r="D40" s="16">
        <v>4.2049999999999998E-4</v>
      </c>
      <c r="E40" s="22" t="str">
        <f t="shared" si="2"/>
        <v>Yes</v>
      </c>
    </row>
    <row r="41" spans="1:5" x14ac:dyDescent="0.25">
      <c r="A41" s="113"/>
      <c r="B41" s="11" t="s">
        <v>14</v>
      </c>
      <c r="C41" s="62">
        <v>198</v>
      </c>
      <c r="D41" s="16">
        <v>6.9069999999999999E-3</v>
      </c>
      <c r="E41" s="22" t="str">
        <f t="shared" si="2"/>
        <v>Yes</v>
      </c>
    </row>
    <row r="42" spans="1:5" x14ac:dyDescent="0.25">
      <c r="A42" s="113"/>
      <c r="B42" s="11" t="s">
        <v>32</v>
      </c>
      <c r="C42" s="62">
        <v>17</v>
      </c>
      <c r="D42" s="16">
        <v>0.79220000000000002</v>
      </c>
      <c r="E42" s="21" t="str">
        <f t="shared" si="2"/>
        <v>No</v>
      </c>
    </row>
    <row r="43" spans="1:5" x14ac:dyDescent="0.25">
      <c r="A43" s="113"/>
      <c r="B43" s="11" t="s">
        <v>33</v>
      </c>
      <c r="C43" s="62">
        <v>16</v>
      </c>
      <c r="D43" s="16">
        <v>1.721E-2</v>
      </c>
      <c r="E43" s="22" t="str">
        <f t="shared" si="2"/>
        <v>Yes</v>
      </c>
    </row>
    <row r="44" spans="1:5" x14ac:dyDescent="0.25">
      <c r="A44" s="113"/>
      <c r="B44" s="11" t="s">
        <v>34</v>
      </c>
      <c r="C44" s="62">
        <v>19</v>
      </c>
      <c r="D44" s="16">
        <v>1</v>
      </c>
      <c r="E44" s="21" t="str">
        <f t="shared" si="2"/>
        <v>No</v>
      </c>
    </row>
    <row r="45" spans="1:5" x14ac:dyDescent="0.25">
      <c r="A45" s="113"/>
      <c r="B45" s="11" t="s">
        <v>41</v>
      </c>
      <c r="C45" s="62">
        <v>16</v>
      </c>
      <c r="D45" s="16">
        <v>0.43759999999999999</v>
      </c>
      <c r="E45" s="21" t="str">
        <f t="shared" si="2"/>
        <v>No</v>
      </c>
    </row>
    <row r="46" spans="1:5" x14ac:dyDescent="0.25">
      <c r="A46" s="114"/>
      <c r="B46" s="12" t="s">
        <v>48</v>
      </c>
      <c r="C46" s="63">
        <v>93.5</v>
      </c>
      <c r="D46" s="18">
        <v>0.2056</v>
      </c>
      <c r="E46" s="60" t="str">
        <f t="shared" si="2"/>
        <v>No</v>
      </c>
    </row>
    <row r="47" spans="1:5" x14ac:dyDescent="0.25">
      <c r="A47" s="112" t="s">
        <v>2</v>
      </c>
      <c r="B47" s="51" t="s">
        <v>13</v>
      </c>
      <c r="C47" s="64">
        <v>445</v>
      </c>
      <c r="D47" s="65">
        <v>3.9030000000000002E-2</v>
      </c>
      <c r="E47" s="66" t="s">
        <v>12</v>
      </c>
    </row>
    <row r="48" spans="1:5" x14ac:dyDescent="0.25">
      <c r="A48" s="113"/>
      <c r="B48" s="10" t="s">
        <v>16</v>
      </c>
      <c r="C48" s="67">
        <v>564</v>
      </c>
      <c r="D48" s="32">
        <v>0.49409999999999998</v>
      </c>
      <c r="E48" s="52" t="s">
        <v>15</v>
      </c>
    </row>
    <row r="49" spans="1:5" x14ac:dyDescent="0.25">
      <c r="A49" s="113"/>
      <c r="B49" s="11" t="s">
        <v>18</v>
      </c>
      <c r="C49" s="67">
        <v>724</v>
      </c>
      <c r="D49" s="32">
        <v>0.25019999999999998</v>
      </c>
      <c r="E49" s="52" t="s">
        <v>15</v>
      </c>
    </row>
    <row r="50" spans="1:5" x14ac:dyDescent="0.25">
      <c r="A50" s="113"/>
      <c r="B50" s="10" t="s">
        <v>21</v>
      </c>
      <c r="C50" s="67">
        <v>705.5</v>
      </c>
      <c r="D50" s="32">
        <v>0.34920000000000001</v>
      </c>
      <c r="E50" s="52" t="s">
        <v>15</v>
      </c>
    </row>
    <row r="51" spans="1:5" x14ac:dyDescent="0.25">
      <c r="A51" s="113"/>
      <c r="B51" s="10" t="s">
        <v>24</v>
      </c>
      <c r="C51" s="67">
        <v>731.5</v>
      </c>
      <c r="D51" s="32">
        <v>0.2162</v>
      </c>
      <c r="E51" s="52" t="s">
        <v>15</v>
      </c>
    </row>
    <row r="52" spans="1:5" x14ac:dyDescent="0.25">
      <c r="A52" s="113"/>
      <c r="B52" s="10" t="s">
        <v>25</v>
      </c>
      <c r="C52" s="67">
        <v>553</v>
      </c>
      <c r="D52" s="32">
        <v>0.41499999999999998</v>
      </c>
      <c r="E52" s="52" t="s">
        <v>15</v>
      </c>
    </row>
    <row r="53" spans="1:5" x14ac:dyDescent="0.25">
      <c r="A53" s="113"/>
      <c r="B53" s="10" t="s">
        <v>19</v>
      </c>
      <c r="C53" s="67">
        <v>812</v>
      </c>
      <c r="D53" s="31">
        <v>3.022E-2</v>
      </c>
      <c r="E53" s="68" t="s">
        <v>12</v>
      </c>
    </row>
    <row r="54" spans="1:5" x14ac:dyDescent="0.25">
      <c r="A54" s="113"/>
      <c r="B54" s="10" t="s">
        <v>22</v>
      </c>
      <c r="C54" s="67">
        <v>260</v>
      </c>
      <c r="D54" s="31">
        <v>2.5959999999999999E-5</v>
      </c>
      <c r="E54" s="68" t="s">
        <v>12</v>
      </c>
    </row>
    <row r="55" spans="1:5" x14ac:dyDescent="0.25">
      <c r="A55" s="113"/>
      <c r="B55" s="10" t="s">
        <v>29</v>
      </c>
      <c r="C55" s="67">
        <v>465</v>
      </c>
      <c r="D55" s="31">
        <v>2.686E-3</v>
      </c>
      <c r="E55" s="68" t="s">
        <v>12</v>
      </c>
    </row>
    <row r="56" spans="1:5" x14ac:dyDescent="0.25">
      <c r="A56" s="113"/>
      <c r="B56" s="11" t="s">
        <v>31</v>
      </c>
      <c r="C56" s="67">
        <v>133</v>
      </c>
      <c r="D56" s="31">
        <v>3.9160000000000002E-10</v>
      </c>
      <c r="E56" s="68" t="s">
        <v>12</v>
      </c>
    </row>
    <row r="57" spans="1:5" x14ac:dyDescent="0.25">
      <c r="A57" s="113"/>
      <c r="B57" s="11" t="s">
        <v>14</v>
      </c>
      <c r="C57" s="67">
        <v>1028</v>
      </c>
      <c r="D57" s="31">
        <v>8.8120000000000004E-3</v>
      </c>
      <c r="E57" s="68" t="s">
        <v>12</v>
      </c>
    </row>
    <row r="58" spans="1:5" x14ac:dyDescent="0.25">
      <c r="A58" s="113"/>
      <c r="B58" s="11" t="s">
        <v>32</v>
      </c>
      <c r="C58" s="67">
        <v>910.5</v>
      </c>
      <c r="D58" s="32">
        <v>8.949E-2</v>
      </c>
      <c r="E58" s="52" t="s">
        <v>15</v>
      </c>
    </row>
    <row r="59" spans="1:5" x14ac:dyDescent="0.25">
      <c r="A59" s="113"/>
      <c r="B59" s="11" t="s">
        <v>33</v>
      </c>
      <c r="C59" s="67">
        <v>574</v>
      </c>
      <c r="D59" s="32">
        <v>5.237E-2</v>
      </c>
      <c r="E59" s="52" t="s">
        <v>15</v>
      </c>
    </row>
    <row r="60" spans="1:5" x14ac:dyDescent="0.25">
      <c r="A60" s="113"/>
      <c r="B60" s="11" t="s">
        <v>34</v>
      </c>
      <c r="C60" s="67">
        <v>250</v>
      </c>
      <c r="D60" s="31">
        <v>1.2989999999999999E-8</v>
      </c>
      <c r="E60" s="68" t="s">
        <v>12</v>
      </c>
    </row>
    <row r="61" spans="1:5" x14ac:dyDescent="0.25">
      <c r="A61" s="113"/>
      <c r="B61" s="11" t="s">
        <v>36</v>
      </c>
      <c r="C61" s="67">
        <v>720</v>
      </c>
      <c r="D61" s="32">
        <v>0.10539999999999999</v>
      </c>
      <c r="E61" s="52" t="s">
        <v>15</v>
      </c>
    </row>
    <row r="62" spans="1:5" x14ac:dyDescent="0.25">
      <c r="A62" s="113"/>
      <c r="B62" s="11" t="s">
        <v>37</v>
      </c>
      <c r="C62" s="67">
        <v>882</v>
      </c>
      <c r="D62" s="32">
        <v>8.3070000000000005E-2</v>
      </c>
      <c r="E62" s="52" t="s">
        <v>15</v>
      </c>
    </row>
    <row r="63" spans="1:5" x14ac:dyDescent="0.25">
      <c r="A63" s="113"/>
      <c r="B63" s="11" t="s">
        <v>38</v>
      </c>
      <c r="C63" s="67">
        <v>716</v>
      </c>
      <c r="D63" s="32">
        <v>0.55520000000000003</v>
      </c>
      <c r="E63" s="52" t="s">
        <v>15</v>
      </c>
    </row>
    <row r="64" spans="1:5" x14ac:dyDescent="0.25">
      <c r="A64" s="113"/>
      <c r="B64" s="11" t="s">
        <v>39</v>
      </c>
      <c r="C64" s="67">
        <v>570</v>
      </c>
      <c r="D64" s="31">
        <v>3.8119999999999999E-3</v>
      </c>
      <c r="E64" s="68" t="s">
        <v>12</v>
      </c>
    </row>
    <row r="65" spans="1:5" x14ac:dyDescent="0.25">
      <c r="A65" s="113"/>
      <c r="B65" s="11" t="s">
        <v>40</v>
      </c>
      <c r="C65" s="67">
        <v>653</v>
      </c>
      <c r="D65" s="32">
        <v>9.7189999999999999E-2</v>
      </c>
      <c r="E65" s="52" t="s">
        <v>15</v>
      </c>
    </row>
    <row r="66" spans="1:5" x14ac:dyDescent="0.25">
      <c r="A66" s="113"/>
      <c r="B66" s="11" t="s">
        <v>41</v>
      </c>
      <c r="C66" s="67">
        <v>771.5</v>
      </c>
      <c r="D66" s="32">
        <v>0.9486</v>
      </c>
      <c r="E66" s="52" t="s">
        <v>15</v>
      </c>
    </row>
    <row r="67" spans="1:5" x14ac:dyDescent="0.25">
      <c r="A67" s="113"/>
      <c r="B67" s="11" t="s">
        <v>42</v>
      </c>
      <c r="C67" s="67">
        <v>642</v>
      </c>
      <c r="D67" s="32">
        <v>6.8409999999999999E-2</v>
      </c>
      <c r="E67" s="52" t="s">
        <v>15</v>
      </c>
    </row>
    <row r="68" spans="1:5" x14ac:dyDescent="0.25">
      <c r="A68" s="113"/>
      <c r="B68" s="11" t="s">
        <v>43</v>
      </c>
      <c r="C68" s="67">
        <v>760</v>
      </c>
      <c r="D68" s="32">
        <v>0.86990000000000001</v>
      </c>
      <c r="E68" s="52" t="s">
        <v>15</v>
      </c>
    </row>
    <row r="69" spans="1:5" x14ac:dyDescent="0.25">
      <c r="A69" s="113"/>
      <c r="B69" s="11" t="s">
        <v>46</v>
      </c>
      <c r="C69" s="67">
        <v>742.5</v>
      </c>
      <c r="D69" s="32">
        <v>0.2606</v>
      </c>
      <c r="E69" s="52" t="s">
        <v>15</v>
      </c>
    </row>
    <row r="70" spans="1:5" x14ac:dyDescent="0.25">
      <c r="A70" s="113"/>
      <c r="B70" s="11" t="s">
        <v>47</v>
      </c>
      <c r="C70" s="67">
        <v>697.5</v>
      </c>
      <c r="D70" s="31">
        <v>4.5150000000000003E-2</v>
      </c>
      <c r="E70" s="68" t="s">
        <v>12</v>
      </c>
    </row>
    <row r="71" spans="1:5" x14ac:dyDescent="0.25">
      <c r="A71" s="113"/>
      <c r="B71" s="10" t="s">
        <v>48</v>
      </c>
      <c r="C71" s="67">
        <v>506</v>
      </c>
      <c r="D71" s="31">
        <v>1.042E-2</v>
      </c>
      <c r="E71" s="68" t="s">
        <v>12</v>
      </c>
    </row>
    <row r="72" spans="1:5" x14ac:dyDescent="0.25">
      <c r="A72" s="114"/>
      <c r="B72" s="12" t="s">
        <v>85</v>
      </c>
      <c r="C72" s="69">
        <v>520</v>
      </c>
      <c r="D72" s="33">
        <v>1.4500000000000001E-2</v>
      </c>
      <c r="E72" s="70" t="s">
        <v>12</v>
      </c>
    </row>
  </sheetData>
  <mergeCells count="4">
    <mergeCell ref="A2:A15"/>
    <mergeCell ref="A16:A31"/>
    <mergeCell ref="A32:A46"/>
    <mergeCell ref="A47:A7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B2675-2BB5-46F2-8399-95DB348C04A7}">
  <dimension ref="A1:G46"/>
  <sheetViews>
    <sheetView workbookViewId="0">
      <selection activeCell="I8" sqref="I8"/>
    </sheetView>
  </sheetViews>
  <sheetFormatPr defaultColWidth="14.42578125" defaultRowHeight="15" x14ac:dyDescent="0.25"/>
  <cols>
    <col min="3" max="3" width="13.42578125" bestFit="1" customWidth="1"/>
    <col min="4" max="4" width="10" bestFit="1" customWidth="1"/>
    <col min="5" max="5" width="12" bestFit="1" customWidth="1"/>
    <col min="6" max="6" width="14.140625" bestFit="1" customWidth="1"/>
    <col min="7" max="7" width="9" bestFit="1" customWidth="1"/>
  </cols>
  <sheetData>
    <row r="1" spans="1:7" ht="30" x14ac:dyDescent="0.25">
      <c r="B1" s="100" t="s">
        <v>93</v>
      </c>
      <c r="C1" s="97" t="s">
        <v>29</v>
      </c>
      <c r="D1" s="98" t="s">
        <v>31</v>
      </c>
      <c r="E1" s="98" t="s">
        <v>14</v>
      </c>
      <c r="F1" s="97" t="s">
        <v>48</v>
      </c>
      <c r="G1" s="99" t="s">
        <v>85</v>
      </c>
    </row>
    <row r="2" spans="1:7" x14ac:dyDescent="0.25">
      <c r="A2" s="115" t="s">
        <v>2</v>
      </c>
      <c r="B2" s="8" t="s">
        <v>11</v>
      </c>
      <c r="C2" s="7">
        <v>0.1</v>
      </c>
      <c r="D2" s="7">
        <v>-0.02</v>
      </c>
      <c r="E2" s="90" t="s">
        <v>158</v>
      </c>
      <c r="F2" s="7">
        <v>-0.18</v>
      </c>
      <c r="G2" s="6">
        <v>-0.2</v>
      </c>
    </row>
    <row r="3" spans="1:7" x14ac:dyDescent="0.25">
      <c r="A3" s="116"/>
      <c r="B3" s="9" t="s">
        <v>13</v>
      </c>
      <c r="C3" s="86">
        <v>-0.03</v>
      </c>
      <c r="D3" s="86">
        <v>7.0000000000000007E-2</v>
      </c>
      <c r="E3" s="87" t="s">
        <v>160</v>
      </c>
      <c r="F3" s="86">
        <v>0.13</v>
      </c>
      <c r="G3" s="21">
        <v>0.15</v>
      </c>
    </row>
    <row r="4" spans="1:7" x14ac:dyDescent="0.25">
      <c r="A4" s="116"/>
      <c r="B4" s="9" t="s">
        <v>17</v>
      </c>
      <c r="C4" s="86">
        <v>-0.16</v>
      </c>
      <c r="D4" s="86">
        <v>-0.13</v>
      </c>
      <c r="E4" s="86">
        <v>-0.2</v>
      </c>
      <c r="F4" s="86">
        <v>0.01</v>
      </c>
      <c r="G4" s="21">
        <v>0.03</v>
      </c>
    </row>
    <row r="5" spans="1:7" x14ac:dyDescent="0.25">
      <c r="A5" s="116"/>
      <c r="B5" s="9" t="s">
        <v>20</v>
      </c>
      <c r="C5" s="86">
        <v>-0.09</v>
      </c>
      <c r="D5" s="86">
        <v>0</v>
      </c>
      <c r="E5" s="87" t="s">
        <v>161</v>
      </c>
      <c r="F5" s="86">
        <v>0.08</v>
      </c>
      <c r="G5" s="21">
        <v>0.1</v>
      </c>
    </row>
    <row r="6" spans="1:7" ht="18" x14ac:dyDescent="0.35">
      <c r="A6" s="116"/>
      <c r="B6" s="9" t="s">
        <v>86</v>
      </c>
      <c r="C6" s="86">
        <v>0.15</v>
      </c>
      <c r="D6" s="86">
        <v>0.21</v>
      </c>
      <c r="E6" s="86">
        <v>-0.02</v>
      </c>
      <c r="F6" s="86">
        <v>0.13</v>
      </c>
      <c r="G6" s="21">
        <v>0.11</v>
      </c>
    </row>
    <row r="7" spans="1:7" ht="18" x14ac:dyDescent="0.35">
      <c r="A7" s="116"/>
      <c r="B7" s="9" t="s">
        <v>87</v>
      </c>
      <c r="C7" s="86">
        <v>-0.17</v>
      </c>
      <c r="D7" s="86">
        <v>-0.22</v>
      </c>
      <c r="E7" s="86">
        <v>-0.01</v>
      </c>
      <c r="F7" s="86">
        <v>-0.12</v>
      </c>
      <c r="G7" s="21">
        <v>-0.11</v>
      </c>
    </row>
    <row r="8" spans="1:7" x14ac:dyDescent="0.25">
      <c r="A8" s="116"/>
      <c r="B8" s="9" t="s">
        <v>26</v>
      </c>
      <c r="C8" s="86">
        <v>-0.2</v>
      </c>
      <c r="D8" s="86">
        <v>-0.19</v>
      </c>
      <c r="E8" s="86">
        <v>-0.16</v>
      </c>
      <c r="F8" s="86">
        <v>-0.03</v>
      </c>
      <c r="G8" s="21">
        <v>-0.01</v>
      </c>
    </row>
    <row r="9" spans="1:7" x14ac:dyDescent="0.25">
      <c r="A9" s="116"/>
      <c r="B9" s="9" t="s">
        <v>27</v>
      </c>
      <c r="C9" s="86">
        <v>0.15</v>
      </c>
      <c r="D9" s="86">
        <v>0.21</v>
      </c>
      <c r="E9" s="86">
        <v>-0.05</v>
      </c>
      <c r="F9" s="86">
        <v>0.15</v>
      </c>
      <c r="G9" s="21">
        <v>0.14000000000000001</v>
      </c>
    </row>
    <row r="10" spans="1:7" ht="18" x14ac:dyDescent="0.35">
      <c r="A10" s="116"/>
      <c r="B10" s="9" t="s">
        <v>51</v>
      </c>
      <c r="C10" s="86">
        <v>0.16</v>
      </c>
      <c r="D10" s="86">
        <v>0.21</v>
      </c>
      <c r="E10" s="86">
        <v>-0.02</v>
      </c>
      <c r="F10" s="86">
        <v>0.14000000000000001</v>
      </c>
      <c r="G10" s="21">
        <v>0.13</v>
      </c>
    </row>
    <row r="11" spans="1:7" x14ac:dyDescent="0.25">
      <c r="A11" s="116"/>
      <c r="B11" s="9" t="s">
        <v>21</v>
      </c>
      <c r="C11" s="86">
        <v>-0.06</v>
      </c>
      <c r="D11" s="86">
        <v>-0.11</v>
      </c>
      <c r="E11" s="86">
        <v>-0.01</v>
      </c>
      <c r="F11" s="86">
        <v>-0.2</v>
      </c>
      <c r="G11" s="21">
        <v>-0.18</v>
      </c>
    </row>
    <row r="12" spans="1:7" x14ac:dyDescent="0.25">
      <c r="A12" s="116"/>
      <c r="B12" s="9" t="s">
        <v>24</v>
      </c>
      <c r="C12" s="86">
        <v>-0.15</v>
      </c>
      <c r="D12" s="86">
        <v>-7.0000000000000007E-2</v>
      </c>
      <c r="E12" s="86">
        <v>-0.09</v>
      </c>
      <c r="F12" s="86">
        <v>-0.18</v>
      </c>
      <c r="G12" s="21">
        <v>-0.17</v>
      </c>
    </row>
    <row r="13" spans="1:7" x14ac:dyDescent="0.25">
      <c r="A13" s="116"/>
      <c r="B13" s="9" t="s">
        <v>25</v>
      </c>
      <c r="C13" s="86">
        <v>0.06</v>
      </c>
      <c r="D13" s="86">
        <v>0.03</v>
      </c>
      <c r="E13" s="86">
        <v>0.1</v>
      </c>
      <c r="F13" s="86">
        <v>0</v>
      </c>
      <c r="G13" s="21">
        <v>0.04</v>
      </c>
    </row>
    <row r="14" spans="1:7" x14ac:dyDescent="0.25">
      <c r="A14" s="116"/>
      <c r="B14" s="9" t="s">
        <v>19</v>
      </c>
      <c r="C14" s="86">
        <v>0.08</v>
      </c>
      <c r="D14" s="86">
        <v>-0.1</v>
      </c>
      <c r="E14" s="88" t="s">
        <v>162</v>
      </c>
      <c r="F14" s="86">
        <v>-0.03</v>
      </c>
      <c r="G14" s="21">
        <v>0</v>
      </c>
    </row>
    <row r="15" spans="1:7" x14ac:dyDescent="0.25">
      <c r="A15" s="116"/>
      <c r="B15" s="9" t="s">
        <v>35</v>
      </c>
      <c r="C15" s="86">
        <v>-0.18</v>
      </c>
      <c r="D15" s="86">
        <v>-0.16</v>
      </c>
      <c r="E15" s="86">
        <v>-0.09</v>
      </c>
      <c r="F15" s="86">
        <v>-0.18</v>
      </c>
      <c r="G15" s="21">
        <v>-0.17</v>
      </c>
    </row>
    <row r="16" spans="1:7" x14ac:dyDescent="0.25">
      <c r="A16" s="117"/>
      <c r="B16" s="50" t="s">
        <v>22</v>
      </c>
      <c r="C16" s="91" t="s">
        <v>164</v>
      </c>
      <c r="D16" s="92" t="s">
        <v>165</v>
      </c>
      <c r="E16" s="92" t="s">
        <v>166</v>
      </c>
      <c r="F16" s="93">
        <v>-0.05</v>
      </c>
      <c r="G16" s="60">
        <v>-0.02</v>
      </c>
    </row>
    <row r="17" spans="1:7" x14ac:dyDescent="0.25">
      <c r="A17" s="115" t="s">
        <v>3</v>
      </c>
      <c r="B17" s="8" t="s">
        <v>11</v>
      </c>
      <c r="C17" s="7">
        <v>0.28999999999999998</v>
      </c>
      <c r="D17" s="7">
        <v>-0.3</v>
      </c>
      <c r="E17" s="94" t="s">
        <v>159</v>
      </c>
      <c r="F17" s="7">
        <v>-0.09</v>
      </c>
      <c r="G17" s="6">
        <v>-0.06</v>
      </c>
    </row>
    <row r="18" spans="1:7" x14ac:dyDescent="0.25">
      <c r="A18" s="116"/>
      <c r="B18" s="9" t="s">
        <v>13</v>
      </c>
      <c r="C18" s="86">
        <v>0.2</v>
      </c>
      <c r="D18" s="86">
        <v>0.02</v>
      </c>
      <c r="E18" s="86">
        <v>0.2</v>
      </c>
      <c r="F18" s="86">
        <v>-0.09</v>
      </c>
      <c r="G18" s="21">
        <v>-0.09</v>
      </c>
    </row>
    <row r="19" spans="1:7" x14ac:dyDescent="0.25">
      <c r="A19" s="116"/>
      <c r="B19" s="9" t="s">
        <v>17</v>
      </c>
      <c r="C19" s="86">
        <v>-0.06</v>
      </c>
      <c r="D19" s="86">
        <v>-0.04</v>
      </c>
      <c r="E19" s="86">
        <v>-0.12</v>
      </c>
      <c r="F19" s="86">
        <v>0.05</v>
      </c>
      <c r="G19" s="21">
        <v>7.0000000000000007E-2</v>
      </c>
    </row>
    <row r="20" spans="1:7" x14ac:dyDescent="0.25">
      <c r="A20" s="116"/>
      <c r="B20" s="9" t="s">
        <v>20</v>
      </c>
      <c r="C20" s="86">
        <v>-0.19</v>
      </c>
      <c r="D20" s="86">
        <v>-0.28000000000000003</v>
      </c>
      <c r="E20" s="86">
        <v>-0.06</v>
      </c>
      <c r="F20" s="86">
        <v>-0.16</v>
      </c>
      <c r="G20" s="21">
        <v>-0.13</v>
      </c>
    </row>
    <row r="21" spans="1:7" ht="18" x14ac:dyDescent="0.35">
      <c r="A21" s="116"/>
      <c r="B21" s="9" t="s">
        <v>86</v>
      </c>
      <c r="C21" s="86">
        <v>-0.14000000000000001</v>
      </c>
      <c r="D21" s="86">
        <v>-0.13</v>
      </c>
      <c r="E21" s="86">
        <v>-7.0000000000000007E-2</v>
      </c>
      <c r="F21" s="86">
        <v>-0.08</v>
      </c>
      <c r="G21" s="21">
        <v>-0.06</v>
      </c>
    </row>
    <row r="22" spans="1:7" ht="18" x14ac:dyDescent="0.35">
      <c r="A22" s="116"/>
      <c r="B22" s="9" t="s">
        <v>87</v>
      </c>
      <c r="C22" s="86">
        <v>0.13</v>
      </c>
      <c r="D22" s="86">
        <v>0.23</v>
      </c>
      <c r="E22" s="86">
        <v>0.03</v>
      </c>
      <c r="F22" s="86">
        <v>0.12</v>
      </c>
      <c r="G22" s="21">
        <v>0.1</v>
      </c>
    </row>
    <row r="23" spans="1:7" x14ac:dyDescent="0.25">
      <c r="A23" s="116"/>
      <c r="B23" s="9" t="s">
        <v>26</v>
      </c>
      <c r="C23" s="86">
        <v>-0.14000000000000001</v>
      </c>
      <c r="D23" s="86">
        <v>-0.25</v>
      </c>
      <c r="E23" s="86">
        <v>-0.03</v>
      </c>
      <c r="F23" s="86">
        <v>-0.13</v>
      </c>
      <c r="G23" s="21">
        <v>-0.11</v>
      </c>
    </row>
    <row r="24" spans="1:7" x14ac:dyDescent="0.25">
      <c r="A24" s="116"/>
      <c r="B24" s="9" t="s">
        <v>27</v>
      </c>
      <c r="C24" s="86">
        <v>-0.21</v>
      </c>
      <c r="D24" s="86">
        <v>-0.3</v>
      </c>
      <c r="E24" s="86">
        <v>-0.05</v>
      </c>
      <c r="F24" s="86">
        <v>-0.18</v>
      </c>
      <c r="G24" s="21">
        <v>-0.15</v>
      </c>
    </row>
    <row r="25" spans="1:7" ht="18" x14ac:dyDescent="0.35">
      <c r="A25" s="116"/>
      <c r="B25" s="9" t="s">
        <v>51</v>
      </c>
      <c r="C25" s="86">
        <v>0.14000000000000001</v>
      </c>
      <c r="D25" s="86">
        <v>0.22</v>
      </c>
      <c r="E25" s="86">
        <v>0.02</v>
      </c>
      <c r="F25" s="86">
        <v>0.15</v>
      </c>
      <c r="G25" s="21">
        <v>0.14000000000000001</v>
      </c>
    </row>
    <row r="26" spans="1:7" x14ac:dyDescent="0.25">
      <c r="A26" s="116"/>
      <c r="B26" s="9" t="s">
        <v>21</v>
      </c>
      <c r="C26" s="86">
        <v>0.18</v>
      </c>
      <c r="D26" s="86">
        <v>0.22</v>
      </c>
      <c r="E26" s="86">
        <v>0.06</v>
      </c>
      <c r="F26" s="86">
        <v>0.15</v>
      </c>
      <c r="G26" s="21">
        <v>0.15</v>
      </c>
    </row>
    <row r="27" spans="1:7" x14ac:dyDescent="0.25">
      <c r="A27" s="116"/>
      <c r="B27" s="9" t="s">
        <v>24</v>
      </c>
      <c r="C27" s="86">
        <v>-0.02</v>
      </c>
      <c r="D27" s="86">
        <v>-0.17</v>
      </c>
      <c r="E27" s="86">
        <v>-0.1</v>
      </c>
      <c r="F27" s="86">
        <v>-0.18</v>
      </c>
      <c r="G27" s="21">
        <v>-0.18</v>
      </c>
    </row>
    <row r="28" spans="1:7" x14ac:dyDescent="0.25">
      <c r="A28" s="116"/>
      <c r="B28" s="9" t="s">
        <v>25</v>
      </c>
      <c r="C28" s="86">
        <v>-0.28000000000000003</v>
      </c>
      <c r="D28" s="86">
        <v>-0.08</v>
      </c>
      <c r="E28" s="86">
        <v>-0.11</v>
      </c>
      <c r="F28" s="86">
        <v>-0.17</v>
      </c>
      <c r="G28" s="21">
        <v>-0.17</v>
      </c>
    </row>
    <row r="29" spans="1:7" x14ac:dyDescent="0.25">
      <c r="A29" s="116"/>
      <c r="B29" s="9" t="s">
        <v>19</v>
      </c>
      <c r="C29" s="86">
        <v>0.08</v>
      </c>
      <c r="D29" s="86">
        <v>0.04</v>
      </c>
      <c r="E29" s="86">
        <v>-0.01</v>
      </c>
      <c r="F29" s="86">
        <v>0.11</v>
      </c>
      <c r="G29" s="21">
        <v>0.13</v>
      </c>
    </row>
    <row r="30" spans="1:7" x14ac:dyDescent="0.25">
      <c r="A30" s="116"/>
      <c r="B30" s="9" t="s">
        <v>35</v>
      </c>
      <c r="C30" s="86">
        <v>0.28999999999999998</v>
      </c>
      <c r="D30" s="86">
        <v>0.2</v>
      </c>
      <c r="E30" s="87" t="s">
        <v>163</v>
      </c>
      <c r="F30" s="86">
        <v>0.21</v>
      </c>
      <c r="G30" s="21">
        <v>0.23</v>
      </c>
    </row>
    <row r="31" spans="1:7" x14ac:dyDescent="0.25">
      <c r="A31" s="117"/>
      <c r="B31" s="50" t="s">
        <v>22</v>
      </c>
      <c r="C31" s="93">
        <v>-0.28000000000000003</v>
      </c>
      <c r="D31" s="92" t="s">
        <v>167</v>
      </c>
      <c r="E31" s="93">
        <v>-0.19</v>
      </c>
      <c r="F31" s="93">
        <v>-0.22</v>
      </c>
      <c r="G31" s="60">
        <v>-0.19</v>
      </c>
    </row>
    <row r="32" spans="1:7" x14ac:dyDescent="0.25">
      <c r="A32" s="115" t="s">
        <v>4</v>
      </c>
      <c r="B32" s="8" t="s">
        <v>11</v>
      </c>
      <c r="C32" s="7">
        <v>0.13</v>
      </c>
      <c r="D32" s="7">
        <v>0.23</v>
      </c>
      <c r="E32" s="95" t="s">
        <v>168</v>
      </c>
      <c r="F32" s="94" t="s">
        <v>169</v>
      </c>
      <c r="G32" s="96" t="s">
        <v>170</v>
      </c>
    </row>
    <row r="33" spans="1:7" x14ac:dyDescent="0.25">
      <c r="A33" s="116"/>
      <c r="B33" s="9" t="s">
        <v>13</v>
      </c>
      <c r="C33" s="86">
        <v>0.01</v>
      </c>
      <c r="D33" s="86">
        <v>0.04</v>
      </c>
      <c r="E33" s="86">
        <v>0.28999999999999998</v>
      </c>
      <c r="F33" s="86">
        <v>-0.24</v>
      </c>
      <c r="G33" s="21">
        <v>-0.27</v>
      </c>
    </row>
    <row r="34" spans="1:7" x14ac:dyDescent="0.25">
      <c r="A34" s="116"/>
      <c r="B34" s="9" t="s">
        <v>17</v>
      </c>
      <c r="C34" s="86">
        <v>-0.24</v>
      </c>
      <c r="D34" s="86">
        <v>-0.25</v>
      </c>
      <c r="E34" s="86">
        <v>-0.32</v>
      </c>
      <c r="F34" s="86">
        <v>0.04</v>
      </c>
      <c r="G34" s="21">
        <v>0.04</v>
      </c>
    </row>
    <row r="35" spans="1:7" x14ac:dyDescent="0.25">
      <c r="A35" s="116"/>
      <c r="B35" s="9" t="s">
        <v>20</v>
      </c>
      <c r="C35" s="86">
        <v>-0.09</v>
      </c>
      <c r="D35" s="86">
        <v>-0.1</v>
      </c>
      <c r="E35" s="88" t="s">
        <v>171</v>
      </c>
      <c r="F35" s="86">
        <v>0.23</v>
      </c>
      <c r="G35" s="21">
        <v>0.25</v>
      </c>
    </row>
    <row r="36" spans="1:7" ht="18" x14ac:dyDescent="0.35">
      <c r="A36" s="116"/>
      <c r="B36" s="9" t="s">
        <v>86</v>
      </c>
      <c r="C36" s="86">
        <v>-0.11</v>
      </c>
      <c r="D36" s="86">
        <v>-7.0000000000000007E-2</v>
      </c>
      <c r="E36" s="89" t="s">
        <v>172</v>
      </c>
      <c r="F36" s="86">
        <v>0.3</v>
      </c>
      <c r="G36" s="21">
        <v>0.33</v>
      </c>
    </row>
    <row r="37" spans="1:7" ht="18" x14ac:dyDescent="0.35">
      <c r="A37" s="116"/>
      <c r="B37" s="9" t="s">
        <v>87</v>
      </c>
      <c r="C37" s="86">
        <v>0.08</v>
      </c>
      <c r="D37" s="86">
        <v>7.0000000000000007E-2</v>
      </c>
      <c r="E37" s="86">
        <v>0.03</v>
      </c>
      <c r="F37" s="86">
        <v>0.11</v>
      </c>
      <c r="G37" s="21">
        <v>0.11</v>
      </c>
    </row>
    <row r="38" spans="1:7" x14ac:dyDescent="0.25">
      <c r="A38" s="116"/>
      <c r="B38" s="9" t="s">
        <v>26</v>
      </c>
      <c r="C38" s="86">
        <v>-0.11</v>
      </c>
      <c r="D38" s="86">
        <v>-0.09</v>
      </c>
      <c r="E38" s="86">
        <v>-0.13</v>
      </c>
      <c r="F38" s="86">
        <v>-0.11</v>
      </c>
      <c r="G38" s="21">
        <v>-0.09</v>
      </c>
    </row>
    <row r="39" spans="1:7" x14ac:dyDescent="0.25">
      <c r="A39" s="116"/>
      <c r="B39" s="9" t="s">
        <v>27</v>
      </c>
      <c r="C39" s="86">
        <v>-0.09</v>
      </c>
      <c r="D39" s="86">
        <v>-0.11</v>
      </c>
      <c r="E39" s="87" t="s">
        <v>173</v>
      </c>
      <c r="F39" s="86">
        <v>0.19</v>
      </c>
      <c r="G39" s="21">
        <v>0.21</v>
      </c>
    </row>
    <row r="40" spans="1:7" ht="18" x14ac:dyDescent="0.35">
      <c r="A40" s="116"/>
      <c r="B40" s="9" t="s">
        <v>51</v>
      </c>
      <c r="C40" s="86">
        <v>0.04</v>
      </c>
      <c r="D40" s="86">
        <v>0.05</v>
      </c>
      <c r="E40" s="86">
        <v>-0.02</v>
      </c>
      <c r="F40" s="86">
        <v>0.06</v>
      </c>
      <c r="G40" s="21">
        <v>0.04</v>
      </c>
    </row>
    <row r="41" spans="1:7" x14ac:dyDescent="0.25">
      <c r="A41" s="116"/>
      <c r="B41" s="9" t="s">
        <v>21</v>
      </c>
      <c r="C41" s="86">
        <v>0.08</v>
      </c>
      <c r="D41" s="86">
        <v>0.08</v>
      </c>
      <c r="E41" s="86">
        <v>0.06</v>
      </c>
      <c r="F41" s="86">
        <v>0.03</v>
      </c>
      <c r="G41" s="21">
        <v>0.01</v>
      </c>
    </row>
    <row r="42" spans="1:7" x14ac:dyDescent="0.25">
      <c r="A42" s="116"/>
      <c r="B42" s="9" t="s">
        <v>24</v>
      </c>
      <c r="C42" s="86">
        <v>-7.0000000000000007E-2</v>
      </c>
      <c r="D42" s="86">
        <v>-0.09</v>
      </c>
      <c r="E42" s="86">
        <v>0.14000000000000001</v>
      </c>
      <c r="F42" s="86">
        <v>-0.24</v>
      </c>
      <c r="G42" s="21">
        <v>-0.19</v>
      </c>
    </row>
    <row r="43" spans="1:7" x14ac:dyDescent="0.25">
      <c r="A43" s="116"/>
      <c r="B43" s="9" t="s">
        <v>25</v>
      </c>
      <c r="C43" s="86">
        <v>0.08</v>
      </c>
      <c r="D43" s="86">
        <v>0.2</v>
      </c>
      <c r="E43" s="86">
        <v>-0.13</v>
      </c>
      <c r="F43" s="86">
        <v>-0.12</v>
      </c>
      <c r="G43" s="21">
        <v>-0.1</v>
      </c>
    </row>
    <row r="44" spans="1:7" x14ac:dyDescent="0.25">
      <c r="A44" s="116"/>
      <c r="B44" s="9" t="s">
        <v>19</v>
      </c>
      <c r="C44" s="86">
        <v>0</v>
      </c>
      <c r="D44" s="86">
        <v>-0.05</v>
      </c>
      <c r="E44" s="87" t="s">
        <v>163</v>
      </c>
      <c r="F44" s="86">
        <v>-0.1</v>
      </c>
      <c r="G44" s="21">
        <v>-7.0000000000000007E-2</v>
      </c>
    </row>
    <row r="45" spans="1:7" x14ac:dyDescent="0.25">
      <c r="A45" s="116"/>
      <c r="B45" s="9" t="s">
        <v>35</v>
      </c>
      <c r="C45" s="86">
        <v>0.08</v>
      </c>
      <c r="D45" s="86">
        <v>0.03</v>
      </c>
      <c r="E45" s="86">
        <v>0.19</v>
      </c>
      <c r="F45" s="86">
        <v>-0.05</v>
      </c>
      <c r="G45" s="21">
        <v>-0.02</v>
      </c>
    </row>
    <row r="46" spans="1:7" x14ac:dyDescent="0.25">
      <c r="A46" s="117"/>
      <c r="B46" s="50" t="s">
        <v>22</v>
      </c>
      <c r="C46" s="93">
        <v>-0.14000000000000001</v>
      </c>
      <c r="D46" s="93">
        <v>-0.15</v>
      </c>
      <c r="E46" s="93">
        <v>0.14000000000000001</v>
      </c>
      <c r="F46" s="93">
        <v>-0.21</v>
      </c>
      <c r="G46" s="60">
        <v>-0.21</v>
      </c>
    </row>
  </sheetData>
  <mergeCells count="3">
    <mergeCell ref="A2:A16"/>
    <mergeCell ref="A17:A31"/>
    <mergeCell ref="A32:A4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4976E-2166-4DA4-BC11-0E1521588306}">
  <dimension ref="A1:V142"/>
  <sheetViews>
    <sheetView topLeftCell="D1" workbookViewId="0">
      <selection activeCell="Y1" sqref="Y1:Y1048576"/>
    </sheetView>
  </sheetViews>
  <sheetFormatPr defaultRowHeight="15" x14ac:dyDescent="0.25"/>
  <cols>
    <col min="1" max="1" width="6.7109375" bestFit="1" customWidth="1"/>
    <col min="2" max="2" width="11" bestFit="1" customWidth="1"/>
    <col min="3" max="3" width="9" bestFit="1" customWidth="1"/>
    <col min="4" max="4" width="10.5703125" bestFit="1" customWidth="1"/>
    <col min="5" max="5" width="6.7109375" bestFit="1" customWidth="1"/>
    <col min="6" max="6" width="8.5703125" bestFit="1" customWidth="1"/>
    <col min="7" max="9" width="6" bestFit="1" customWidth="1"/>
    <col min="10" max="11" width="5" bestFit="1" customWidth="1"/>
    <col min="12" max="12" width="4" bestFit="1" customWidth="1"/>
    <col min="13" max="16" width="5" bestFit="1" customWidth="1"/>
    <col min="17" max="17" width="6" bestFit="1" customWidth="1"/>
    <col min="18" max="21" width="4" bestFit="1" customWidth="1"/>
    <col min="22" max="22" width="6" bestFit="1" customWidth="1"/>
  </cols>
  <sheetData>
    <row r="1" spans="1:22" ht="138.75" x14ac:dyDescent="0.25">
      <c r="A1" t="s">
        <v>90</v>
      </c>
      <c r="B1" t="s">
        <v>0</v>
      </c>
      <c r="C1" t="s">
        <v>1</v>
      </c>
      <c r="D1" t="s">
        <v>95</v>
      </c>
      <c r="E1" t="s">
        <v>96</v>
      </c>
      <c r="F1" t="s">
        <v>97</v>
      </c>
      <c r="G1" s="71" t="s">
        <v>98</v>
      </c>
      <c r="H1" s="71" t="s">
        <v>99</v>
      </c>
      <c r="I1" s="71" t="s">
        <v>100</v>
      </c>
      <c r="J1" s="71" t="s">
        <v>101</v>
      </c>
      <c r="K1" s="71" t="s">
        <v>102</v>
      </c>
      <c r="L1" s="71" t="s">
        <v>103</v>
      </c>
      <c r="M1" s="71" t="s">
        <v>104</v>
      </c>
      <c r="N1" s="71" t="s">
        <v>105</v>
      </c>
      <c r="O1" s="71" t="s">
        <v>106</v>
      </c>
      <c r="P1" s="71" t="s">
        <v>107</v>
      </c>
      <c r="Q1" s="71" t="s">
        <v>108</v>
      </c>
      <c r="R1" s="71" t="s">
        <v>109</v>
      </c>
      <c r="S1" s="71" t="s">
        <v>110</v>
      </c>
      <c r="T1" s="71" t="s">
        <v>111</v>
      </c>
      <c r="U1" s="71" t="s">
        <v>112</v>
      </c>
      <c r="V1" s="71" t="s">
        <v>113</v>
      </c>
    </row>
    <row r="2" spans="1:22" x14ac:dyDescent="0.25">
      <c r="A2" t="s">
        <v>5</v>
      </c>
      <c r="B2">
        <v>6.2627805600000004</v>
      </c>
      <c r="C2">
        <v>3.3603670000000001</v>
      </c>
      <c r="D2" s="72">
        <v>43439</v>
      </c>
      <c r="E2" t="s">
        <v>3</v>
      </c>
      <c r="F2">
        <v>5</v>
      </c>
      <c r="G2">
        <v>8206</v>
      </c>
      <c r="H2">
        <v>24418</v>
      </c>
      <c r="I2">
        <v>1101</v>
      </c>
      <c r="J2">
        <v>1101</v>
      </c>
      <c r="K2">
        <v>0</v>
      </c>
      <c r="L2">
        <v>0</v>
      </c>
      <c r="M2">
        <v>0</v>
      </c>
      <c r="N2">
        <v>200</v>
      </c>
      <c r="O2">
        <v>300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f>SUM(G2:U2)</f>
        <v>35326</v>
      </c>
    </row>
    <row r="3" spans="1:22" x14ac:dyDescent="0.25">
      <c r="A3" t="s">
        <v>5</v>
      </c>
      <c r="B3">
        <v>6.2627805600000004</v>
      </c>
      <c r="C3">
        <v>3.3603670000000001</v>
      </c>
      <c r="D3" s="72">
        <v>43439</v>
      </c>
      <c r="E3" t="s">
        <v>3</v>
      </c>
      <c r="F3">
        <v>50</v>
      </c>
      <c r="G3">
        <v>1799</v>
      </c>
      <c r="H3">
        <v>330</v>
      </c>
      <c r="I3">
        <v>0</v>
      </c>
      <c r="J3">
        <v>300</v>
      </c>
      <c r="K3">
        <v>600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f t="shared" ref="V3:V66" si="0">SUM(G3:U3)</f>
        <v>3029</v>
      </c>
    </row>
    <row r="4" spans="1:22" x14ac:dyDescent="0.25">
      <c r="A4" t="s">
        <v>5</v>
      </c>
      <c r="B4">
        <v>6.2627805600000004</v>
      </c>
      <c r="C4">
        <v>3.3603670000000001</v>
      </c>
      <c r="D4" s="72">
        <v>43517</v>
      </c>
      <c r="E4" t="s">
        <v>3</v>
      </c>
      <c r="F4">
        <v>5</v>
      </c>
      <c r="G4">
        <v>0</v>
      </c>
      <c r="H4">
        <v>3462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f t="shared" si="0"/>
        <v>3462</v>
      </c>
    </row>
    <row r="5" spans="1:22" x14ac:dyDescent="0.25">
      <c r="A5" t="s">
        <v>5</v>
      </c>
      <c r="B5">
        <v>6.2627805600000004</v>
      </c>
      <c r="C5">
        <v>3.3603670000000001</v>
      </c>
      <c r="D5" s="72">
        <v>43517</v>
      </c>
      <c r="E5" t="s">
        <v>3</v>
      </c>
      <c r="F5">
        <v>25</v>
      </c>
      <c r="G5">
        <v>0</v>
      </c>
      <c r="H5">
        <v>1579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f t="shared" si="0"/>
        <v>1579</v>
      </c>
    </row>
    <row r="6" spans="1:22" x14ac:dyDescent="0.25">
      <c r="A6" t="s">
        <v>5</v>
      </c>
      <c r="B6">
        <v>6.2627805600000004</v>
      </c>
      <c r="C6">
        <v>3.3603670000000001</v>
      </c>
      <c r="D6" s="72">
        <v>43517</v>
      </c>
      <c r="E6" t="s">
        <v>3</v>
      </c>
      <c r="F6">
        <v>50</v>
      </c>
      <c r="G6">
        <v>0</v>
      </c>
      <c r="H6">
        <v>4728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f t="shared" si="0"/>
        <v>4728</v>
      </c>
    </row>
    <row r="7" spans="1:22" x14ac:dyDescent="0.25">
      <c r="A7" t="s">
        <v>5</v>
      </c>
      <c r="B7">
        <v>6.2627805600000004</v>
      </c>
      <c r="C7">
        <v>3.3603670000000001</v>
      </c>
      <c r="D7" s="72">
        <v>43560</v>
      </c>
      <c r="E7" t="s">
        <v>3</v>
      </c>
      <c r="F7">
        <v>25</v>
      </c>
      <c r="G7">
        <v>183</v>
      </c>
      <c r="H7">
        <v>3182</v>
      </c>
      <c r="I7">
        <v>366</v>
      </c>
      <c r="J7">
        <v>0</v>
      </c>
      <c r="K7">
        <v>0</v>
      </c>
      <c r="L7">
        <v>0</v>
      </c>
      <c r="M7">
        <v>0</v>
      </c>
      <c r="N7">
        <v>92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f t="shared" si="0"/>
        <v>3823</v>
      </c>
    </row>
    <row r="8" spans="1:22" x14ac:dyDescent="0.25">
      <c r="A8" t="s">
        <v>5</v>
      </c>
      <c r="B8">
        <v>6.2627805600000004</v>
      </c>
      <c r="C8">
        <v>3.3603670000000001</v>
      </c>
      <c r="D8" s="72">
        <v>43560</v>
      </c>
      <c r="E8" t="s">
        <v>3</v>
      </c>
      <c r="F8">
        <v>50</v>
      </c>
      <c r="G8">
        <v>8359</v>
      </c>
      <c r="H8">
        <v>15513</v>
      </c>
      <c r="I8">
        <v>322</v>
      </c>
      <c r="J8">
        <v>161</v>
      </c>
      <c r="K8">
        <v>0</v>
      </c>
      <c r="L8">
        <v>0</v>
      </c>
      <c r="M8">
        <v>0</v>
      </c>
      <c r="N8">
        <v>322</v>
      </c>
      <c r="O8">
        <v>0</v>
      </c>
      <c r="P8">
        <v>0</v>
      </c>
      <c r="Q8">
        <v>161</v>
      </c>
      <c r="R8">
        <v>0</v>
      </c>
      <c r="S8">
        <v>0</v>
      </c>
      <c r="T8">
        <v>0</v>
      </c>
      <c r="U8">
        <v>0</v>
      </c>
      <c r="V8">
        <f t="shared" si="0"/>
        <v>24838</v>
      </c>
    </row>
    <row r="9" spans="1:22" x14ac:dyDescent="0.25">
      <c r="A9" t="s">
        <v>5</v>
      </c>
      <c r="B9">
        <v>6.2627805600000004</v>
      </c>
      <c r="C9">
        <v>3.3603670000000001</v>
      </c>
      <c r="D9" s="72">
        <v>43847</v>
      </c>
      <c r="E9" t="s">
        <v>3</v>
      </c>
      <c r="F9">
        <v>5</v>
      </c>
      <c r="G9">
        <v>2532</v>
      </c>
      <c r="H9">
        <v>6541</v>
      </c>
      <c r="I9">
        <v>0</v>
      </c>
      <c r="J9">
        <v>211</v>
      </c>
      <c r="K9">
        <v>0</v>
      </c>
      <c r="L9">
        <v>0</v>
      </c>
      <c r="M9">
        <v>211</v>
      </c>
      <c r="N9">
        <v>0</v>
      </c>
      <c r="O9">
        <v>0</v>
      </c>
      <c r="P9">
        <v>0</v>
      </c>
      <c r="Q9">
        <v>211</v>
      </c>
      <c r="R9">
        <v>0</v>
      </c>
      <c r="S9">
        <v>0</v>
      </c>
      <c r="T9">
        <v>0</v>
      </c>
      <c r="U9">
        <v>0</v>
      </c>
      <c r="V9">
        <f t="shared" si="0"/>
        <v>9706</v>
      </c>
    </row>
    <row r="10" spans="1:22" x14ac:dyDescent="0.25">
      <c r="A10" t="s">
        <v>5</v>
      </c>
      <c r="B10">
        <v>6.2627805600000004</v>
      </c>
      <c r="C10">
        <v>3.3603670000000001</v>
      </c>
      <c r="D10" s="72">
        <v>43847</v>
      </c>
      <c r="E10" t="s">
        <v>3</v>
      </c>
      <c r="F10">
        <v>25</v>
      </c>
      <c r="G10">
        <v>3558</v>
      </c>
      <c r="H10">
        <v>411</v>
      </c>
      <c r="I10">
        <v>0</v>
      </c>
      <c r="J10">
        <v>137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137</v>
      </c>
      <c r="R10">
        <v>0</v>
      </c>
      <c r="S10">
        <v>0</v>
      </c>
      <c r="T10">
        <v>0</v>
      </c>
      <c r="U10">
        <v>0</v>
      </c>
      <c r="V10">
        <f t="shared" si="0"/>
        <v>4243</v>
      </c>
    </row>
    <row r="11" spans="1:22" x14ac:dyDescent="0.25">
      <c r="A11" t="s">
        <v>5</v>
      </c>
      <c r="B11">
        <v>6.2627805600000004</v>
      </c>
      <c r="C11">
        <v>3.3603670000000001</v>
      </c>
      <c r="D11" s="72">
        <v>43847</v>
      </c>
      <c r="E11" t="s">
        <v>3</v>
      </c>
      <c r="F11">
        <v>50</v>
      </c>
      <c r="G11">
        <v>563</v>
      </c>
      <c r="H11">
        <v>188</v>
      </c>
      <c r="I11">
        <v>0</v>
      </c>
      <c r="J11">
        <v>0</v>
      </c>
      <c r="K11">
        <v>0</v>
      </c>
      <c r="L11">
        <v>0</v>
      </c>
      <c r="M11">
        <v>188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f t="shared" si="0"/>
        <v>939</v>
      </c>
    </row>
    <row r="12" spans="1:22" x14ac:dyDescent="0.25">
      <c r="A12" t="s">
        <v>5</v>
      </c>
      <c r="B12">
        <v>6.2627805600000004</v>
      </c>
      <c r="C12">
        <v>3.3603670000000001</v>
      </c>
      <c r="D12" s="72">
        <v>43896</v>
      </c>
      <c r="E12" t="s">
        <v>3</v>
      </c>
      <c r="F12">
        <v>5</v>
      </c>
      <c r="G12">
        <v>814</v>
      </c>
      <c r="H12">
        <v>10224</v>
      </c>
      <c r="I12">
        <v>0</v>
      </c>
      <c r="J12">
        <v>588</v>
      </c>
      <c r="K12">
        <v>0</v>
      </c>
      <c r="L12">
        <v>0</v>
      </c>
      <c r="M12">
        <v>90</v>
      </c>
      <c r="N12">
        <v>452</v>
      </c>
      <c r="O12">
        <v>0</v>
      </c>
      <c r="P12">
        <v>0</v>
      </c>
      <c r="Q12">
        <v>45</v>
      </c>
      <c r="R12">
        <v>0</v>
      </c>
      <c r="S12">
        <v>0</v>
      </c>
      <c r="T12">
        <v>0</v>
      </c>
      <c r="U12">
        <v>0</v>
      </c>
      <c r="V12">
        <f t="shared" si="0"/>
        <v>12213</v>
      </c>
    </row>
    <row r="13" spans="1:22" x14ac:dyDescent="0.25">
      <c r="A13" t="s">
        <v>5</v>
      </c>
      <c r="B13">
        <v>6.2627805600000004</v>
      </c>
      <c r="C13">
        <v>3.3603670000000001</v>
      </c>
      <c r="D13" s="72">
        <v>43896</v>
      </c>
      <c r="E13" t="s">
        <v>3</v>
      </c>
      <c r="F13">
        <v>25</v>
      </c>
      <c r="G13">
        <v>1255</v>
      </c>
      <c r="H13">
        <v>14948</v>
      </c>
      <c r="I13">
        <v>0</v>
      </c>
      <c r="J13">
        <v>1146</v>
      </c>
      <c r="K13">
        <v>0</v>
      </c>
      <c r="L13">
        <v>0</v>
      </c>
      <c r="M13">
        <v>55</v>
      </c>
      <c r="N13">
        <v>327</v>
      </c>
      <c r="O13">
        <v>0</v>
      </c>
      <c r="P13">
        <v>55</v>
      </c>
      <c r="Q13">
        <v>109</v>
      </c>
      <c r="R13">
        <v>0</v>
      </c>
      <c r="S13">
        <v>0</v>
      </c>
      <c r="T13">
        <v>0</v>
      </c>
      <c r="U13">
        <v>0</v>
      </c>
      <c r="V13">
        <f t="shared" si="0"/>
        <v>17895</v>
      </c>
    </row>
    <row r="14" spans="1:22" x14ac:dyDescent="0.25">
      <c r="A14" t="s">
        <v>5</v>
      </c>
      <c r="B14">
        <v>6.2627805600000004</v>
      </c>
      <c r="C14">
        <v>3.3603670000000001</v>
      </c>
      <c r="D14" s="72">
        <v>44215</v>
      </c>
      <c r="E14" t="s">
        <v>3</v>
      </c>
      <c r="F14">
        <v>5</v>
      </c>
      <c r="G14">
        <v>1350</v>
      </c>
      <c r="H14">
        <v>7258</v>
      </c>
      <c r="I14">
        <v>338</v>
      </c>
      <c r="J14">
        <v>84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253</v>
      </c>
      <c r="R14">
        <v>0</v>
      </c>
      <c r="S14">
        <v>0</v>
      </c>
      <c r="T14">
        <v>0</v>
      </c>
      <c r="U14">
        <v>0</v>
      </c>
      <c r="V14">
        <f t="shared" si="0"/>
        <v>9283</v>
      </c>
    </row>
    <row r="15" spans="1:22" x14ac:dyDescent="0.25">
      <c r="A15" t="s">
        <v>5</v>
      </c>
      <c r="B15">
        <v>6.2627805600000004</v>
      </c>
      <c r="C15">
        <v>3.3603670000000001</v>
      </c>
      <c r="D15" s="72">
        <v>44215</v>
      </c>
      <c r="E15" t="s">
        <v>3</v>
      </c>
      <c r="F15">
        <v>25</v>
      </c>
      <c r="G15">
        <v>8805</v>
      </c>
      <c r="H15">
        <v>7752</v>
      </c>
      <c r="I15">
        <v>0</v>
      </c>
      <c r="J15">
        <v>0</v>
      </c>
      <c r="K15">
        <v>287</v>
      </c>
      <c r="L15">
        <v>0</v>
      </c>
      <c r="M15">
        <v>0</v>
      </c>
      <c r="N15">
        <v>0</v>
      </c>
      <c r="O15">
        <v>287</v>
      </c>
      <c r="P15">
        <v>574</v>
      </c>
      <c r="Q15">
        <v>574</v>
      </c>
      <c r="R15">
        <v>96</v>
      </c>
      <c r="S15">
        <v>0</v>
      </c>
      <c r="T15">
        <v>0</v>
      </c>
      <c r="U15">
        <v>0</v>
      </c>
      <c r="V15">
        <f t="shared" si="0"/>
        <v>18375</v>
      </c>
    </row>
    <row r="16" spans="1:22" x14ac:dyDescent="0.25">
      <c r="A16" t="s">
        <v>5</v>
      </c>
      <c r="B16">
        <v>6.2627805600000004</v>
      </c>
      <c r="C16">
        <v>3.3603670000000001</v>
      </c>
      <c r="D16" s="72">
        <v>44215</v>
      </c>
      <c r="E16" t="s">
        <v>3</v>
      </c>
      <c r="F16">
        <v>50</v>
      </c>
      <c r="G16">
        <v>3363</v>
      </c>
      <c r="H16">
        <v>4061</v>
      </c>
      <c r="I16">
        <v>63</v>
      </c>
      <c r="J16">
        <v>127</v>
      </c>
      <c r="K16">
        <v>254</v>
      </c>
      <c r="L16">
        <v>0</v>
      </c>
      <c r="M16">
        <v>63</v>
      </c>
      <c r="N16">
        <v>0</v>
      </c>
      <c r="O16">
        <v>0</v>
      </c>
      <c r="P16">
        <v>317</v>
      </c>
      <c r="Q16">
        <v>698</v>
      </c>
      <c r="R16">
        <v>63</v>
      </c>
      <c r="S16">
        <v>0</v>
      </c>
      <c r="T16">
        <v>0</v>
      </c>
      <c r="U16">
        <v>0</v>
      </c>
      <c r="V16">
        <f t="shared" si="0"/>
        <v>9009</v>
      </c>
    </row>
    <row r="17" spans="1:22" x14ac:dyDescent="0.25">
      <c r="A17" t="s">
        <v>5</v>
      </c>
      <c r="B17">
        <v>6.2627805600000004</v>
      </c>
      <c r="C17">
        <v>3.3603670000000001</v>
      </c>
      <c r="D17" s="72">
        <v>44293</v>
      </c>
      <c r="E17" t="s">
        <v>3</v>
      </c>
      <c r="F17">
        <v>5</v>
      </c>
      <c r="G17">
        <v>2504</v>
      </c>
      <c r="H17">
        <v>15525</v>
      </c>
      <c r="I17">
        <v>0</v>
      </c>
      <c r="J17">
        <v>223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278</v>
      </c>
      <c r="R17">
        <v>0</v>
      </c>
      <c r="S17">
        <v>0</v>
      </c>
      <c r="T17">
        <v>0</v>
      </c>
      <c r="U17">
        <v>0</v>
      </c>
      <c r="V17">
        <f t="shared" si="0"/>
        <v>18530</v>
      </c>
    </row>
    <row r="18" spans="1:22" x14ac:dyDescent="0.25">
      <c r="A18" t="s">
        <v>5</v>
      </c>
      <c r="B18">
        <v>6.2627805600000004</v>
      </c>
      <c r="C18">
        <v>3.3603670000000001</v>
      </c>
      <c r="D18" s="72">
        <v>44293</v>
      </c>
      <c r="E18" t="s">
        <v>3</v>
      </c>
      <c r="F18">
        <v>50</v>
      </c>
      <c r="G18">
        <v>2337</v>
      </c>
      <c r="H18">
        <v>3506</v>
      </c>
      <c r="I18">
        <v>195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f t="shared" si="0"/>
        <v>6038</v>
      </c>
    </row>
    <row r="19" spans="1:22" x14ac:dyDescent="0.25">
      <c r="A19" t="s">
        <v>5</v>
      </c>
      <c r="B19">
        <v>6.2627805600000004</v>
      </c>
      <c r="C19">
        <v>3.3603670000000001</v>
      </c>
      <c r="D19" s="72">
        <v>43721</v>
      </c>
      <c r="E19" t="s">
        <v>4</v>
      </c>
      <c r="F19">
        <v>5</v>
      </c>
      <c r="G19">
        <v>20687</v>
      </c>
      <c r="H19">
        <v>3410</v>
      </c>
      <c r="I19">
        <v>76</v>
      </c>
      <c r="J19">
        <v>530</v>
      </c>
      <c r="K19">
        <v>303</v>
      </c>
      <c r="L19">
        <v>76</v>
      </c>
      <c r="M19">
        <v>0</v>
      </c>
      <c r="N19">
        <v>0</v>
      </c>
      <c r="O19">
        <v>0</v>
      </c>
      <c r="P19">
        <v>0</v>
      </c>
      <c r="Q19">
        <v>76</v>
      </c>
      <c r="R19">
        <v>0</v>
      </c>
      <c r="S19">
        <v>0</v>
      </c>
      <c r="T19">
        <v>0</v>
      </c>
      <c r="U19">
        <v>0</v>
      </c>
      <c r="V19">
        <f t="shared" si="0"/>
        <v>25158</v>
      </c>
    </row>
    <row r="20" spans="1:22" x14ac:dyDescent="0.25">
      <c r="A20" t="s">
        <v>5</v>
      </c>
      <c r="B20">
        <v>6.2627805600000004</v>
      </c>
      <c r="C20">
        <v>3.3603670000000001</v>
      </c>
      <c r="D20" s="72">
        <v>43721</v>
      </c>
      <c r="E20" t="s">
        <v>4</v>
      </c>
      <c r="F20">
        <v>25</v>
      </c>
      <c r="G20">
        <v>5115</v>
      </c>
      <c r="H20">
        <v>2728</v>
      </c>
      <c r="I20">
        <v>0</v>
      </c>
      <c r="J20">
        <v>0</v>
      </c>
      <c r="K20">
        <v>341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f t="shared" si="0"/>
        <v>8184</v>
      </c>
    </row>
    <row r="21" spans="1:22" x14ac:dyDescent="0.25">
      <c r="A21" t="s">
        <v>5</v>
      </c>
      <c r="B21">
        <v>6.2627805600000004</v>
      </c>
      <c r="C21">
        <v>3.3603670000000001</v>
      </c>
      <c r="D21" s="72">
        <v>43721</v>
      </c>
      <c r="E21" t="s">
        <v>4</v>
      </c>
      <c r="F21">
        <v>50</v>
      </c>
      <c r="G21">
        <v>3367</v>
      </c>
      <c r="H21">
        <v>8891</v>
      </c>
      <c r="I21">
        <v>0</v>
      </c>
      <c r="J21">
        <v>0</v>
      </c>
      <c r="K21">
        <v>259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f t="shared" si="0"/>
        <v>12517</v>
      </c>
    </row>
    <row r="22" spans="1:22" x14ac:dyDescent="0.25">
      <c r="A22" t="s">
        <v>5</v>
      </c>
      <c r="B22">
        <v>6.2627805600000004</v>
      </c>
      <c r="C22">
        <v>3.3603670000000001</v>
      </c>
      <c r="D22" s="72">
        <v>43749</v>
      </c>
      <c r="E22" t="s">
        <v>4</v>
      </c>
      <c r="F22">
        <v>5</v>
      </c>
      <c r="G22">
        <v>25180</v>
      </c>
      <c r="H22">
        <v>2774</v>
      </c>
      <c r="I22">
        <v>0</v>
      </c>
      <c r="J22">
        <v>1707</v>
      </c>
      <c r="K22">
        <v>213</v>
      </c>
      <c r="L22">
        <v>213</v>
      </c>
      <c r="M22">
        <v>0</v>
      </c>
      <c r="N22">
        <v>0</v>
      </c>
      <c r="O22">
        <v>0</v>
      </c>
      <c r="P22">
        <v>213</v>
      </c>
      <c r="Q22">
        <v>0</v>
      </c>
      <c r="R22">
        <v>0</v>
      </c>
      <c r="S22">
        <v>0</v>
      </c>
      <c r="T22">
        <v>0</v>
      </c>
      <c r="U22">
        <v>0</v>
      </c>
      <c r="V22">
        <f t="shared" si="0"/>
        <v>30300</v>
      </c>
    </row>
    <row r="23" spans="1:22" x14ac:dyDescent="0.25">
      <c r="A23" t="s">
        <v>5</v>
      </c>
      <c r="B23">
        <v>6.2627805600000004</v>
      </c>
      <c r="C23">
        <v>3.3603670000000001</v>
      </c>
      <c r="D23" s="72">
        <v>43749</v>
      </c>
      <c r="E23" t="s">
        <v>4</v>
      </c>
      <c r="F23">
        <v>25</v>
      </c>
      <c r="G23">
        <v>8352</v>
      </c>
      <c r="H23">
        <v>1044</v>
      </c>
      <c r="I23">
        <v>0</v>
      </c>
      <c r="J23">
        <v>261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f t="shared" si="0"/>
        <v>9657</v>
      </c>
    </row>
    <row r="24" spans="1:22" x14ac:dyDescent="0.25">
      <c r="A24" t="s">
        <v>5</v>
      </c>
      <c r="B24">
        <v>6.2627805600000004</v>
      </c>
      <c r="C24">
        <v>3.3603670000000001</v>
      </c>
      <c r="D24" s="72">
        <v>43749</v>
      </c>
      <c r="E24" t="s">
        <v>4</v>
      </c>
      <c r="F24">
        <v>50</v>
      </c>
      <c r="G24">
        <v>14211</v>
      </c>
      <c r="H24">
        <v>2866</v>
      </c>
      <c r="I24">
        <v>0</v>
      </c>
      <c r="J24">
        <v>717</v>
      </c>
      <c r="K24">
        <v>1553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f t="shared" si="0"/>
        <v>19347</v>
      </c>
    </row>
    <row r="25" spans="1:22" x14ac:dyDescent="0.25">
      <c r="A25" t="s">
        <v>5</v>
      </c>
      <c r="B25">
        <v>6.2627805600000004</v>
      </c>
      <c r="C25">
        <v>3.3603670000000001</v>
      </c>
      <c r="D25" s="72">
        <v>43770</v>
      </c>
      <c r="E25" t="s">
        <v>4</v>
      </c>
      <c r="F25">
        <v>5</v>
      </c>
      <c r="G25">
        <v>27832</v>
      </c>
      <c r="H25">
        <v>2361</v>
      </c>
      <c r="I25">
        <v>0</v>
      </c>
      <c r="J25">
        <v>1349</v>
      </c>
      <c r="K25">
        <v>843</v>
      </c>
      <c r="L25">
        <v>0</v>
      </c>
      <c r="M25">
        <v>0</v>
      </c>
      <c r="N25">
        <v>506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f t="shared" si="0"/>
        <v>32891</v>
      </c>
    </row>
    <row r="26" spans="1:22" x14ac:dyDescent="0.25">
      <c r="A26" t="s">
        <v>5</v>
      </c>
      <c r="B26">
        <v>6.2627805600000004</v>
      </c>
      <c r="C26">
        <v>3.3603670000000001</v>
      </c>
      <c r="D26" s="72">
        <v>43770</v>
      </c>
      <c r="E26" t="s">
        <v>4</v>
      </c>
      <c r="F26">
        <v>25</v>
      </c>
      <c r="G26">
        <v>13873</v>
      </c>
      <c r="H26">
        <v>1121</v>
      </c>
      <c r="I26">
        <v>0</v>
      </c>
      <c r="J26">
        <v>1121</v>
      </c>
      <c r="K26">
        <v>2663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f t="shared" si="0"/>
        <v>18778</v>
      </c>
    </row>
    <row r="27" spans="1:22" x14ac:dyDescent="0.25">
      <c r="A27" t="s">
        <v>5</v>
      </c>
      <c r="B27">
        <v>6.2627805600000004</v>
      </c>
      <c r="C27">
        <v>3.3603670000000001</v>
      </c>
      <c r="D27" s="72">
        <v>43770</v>
      </c>
      <c r="E27" t="s">
        <v>4</v>
      </c>
      <c r="F27">
        <v>50</v>
      </c>
      <c r="G27">
        <v>6215</v>
      </c>
      <c r="H27">
        <v>1611</v>
      </c>
      <c r="I27">
        <v>0</v>
      </c>
      <c r="J27">
        <v>614</v>
      </c>
      <c r="K27">
        <v>537</v>
      </c>
      <c r="L27">
        <v>0</v>
      </c>
      <c r="M27">
        <v>0</v>
      </c>
      <c r="N27">
        <v>384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f t="shared" si="0"/>
        <v>9361</v>
      </c>
    </row>
    <row r="28" spans="1:22" x14ac:dyDescent="0.25">
      <c r="A28" t="s">
        <v>5</v>
      </c>
      <c r="B28">
        <v>6.2627805600000004</v>
      </c>
      <c r="C28">
        <v>3.3603670000000001</v>
      </c>
      <c r="D28" s="72">
        <v>44119</v>
      </c>
      <c r="E28" t="s">
        <v>4</v>
      </c>
      <c r="F28">
        <v>5</v>
      </c>
      <c r="G28">
        <v>7319</v>
      </c>
      <c r="H28">
        <v>322</v>
      </c>
      <c r="I28">
        <v>92</v>
      </c>
      <c r="J28">
        <v>0</v>
      </c>
      <c r="K28">
        <v>138</v>
      </c>
      <c r="L28">
        <v>0</v>
      </c>
      <c r="M28">
        <v>138</v>
      </c>
      <c r="N28">
        <v>46</v>
      </c>
      <c r="O28">
        <v>1059</v>
      </c>
      <c r="P28">
        <v>1703</v>
      </c>
      <c r="Q28">
        <v>0</v>
      </c>
      <c r="R28">
        <v>0</v>
      </c>
      <c r="S28">
        <v>46</v>
      </c>
      <c r="T28">
        <v>0</v>
      </c>
      <c r="U28">
        <v>0</v>
      </c>
      <c r="V28">
        <f t="shared" si="0"/>
        <v>10863</v>
      </c>
    </row>
    <row r="29" spans="1:22" x14ac:dyDescent="0.25">
      <c r="A29" t="s">
        <v>5</v>
      </c>
      <c r="B29">
        <v>6.2627805600000004</v>
      </c>
      <c r="C29">
        <v>3.3603670000000001</v>
      </c>
      <c r="D29" s="72">
        <v>44119</v>
      </c>
      <c r="E29" t="s">
        <v>4</v>
      </c>
      <c r="F29">
        <v>25</v>
      </c>
      <c r="G29">
        <v>18038</v>
      </c>
      <c r="H29">
        <v>417</v>
      </c>
      <c r="I29">
        <v>371</v>
      </c>
      <c r="J29">
        <v>1855</v>
      </c>
      <c r="K29">
        <v>371</v>
      </c>
      <c r="L29">
        <v>0</v>
      </c>
      <c r="M29">
        <v>0</v>
      </c>
      <c r="N29">
        <v>0</v>
      </c>
      <c r="O29">
        <v>93</v>
      </c>
      <c r="P29">
        <v>232</v>
      </c>
      <c r="Q29">
        <v>46</v>
      </c>
      <c r="R29">
        <v>139</v>
      </c>
      <c r="S29">
        <v>0</v>
      </c>
      <c r="T29">
        <v>278</v>
      </c>
      <c r="U29">
        <v>0</v>
      </c>
      <c r="V29">
        <f t="shared" si="0"/>
        <v>21840</v>
      </c>
    </row>
    <row r="30" spans="1:22" x14ac:dyDescent="0.25">
      <c r="A30" t="s">
        <v>5</v>
      </c>
      <c r="B30">
        <v>6.2627805600000004</v>
      </c>
      <c r="C30">
        <v>3.3603670000000001</v>
      </c>
      <c r="D30" s="72">
        <v>44119</v>
      </c>
      <c r="E30" t="s">
        <v>4</v>
      </c>
      <c r="F30">
        <v>50</v>
      </c>
      <c r="G30">
        <v>1938</v>
      </c>
      <c r="H30">
        <v>496</v>
      </c>
      <c r="I30">
        <v>451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f t="shared" si="0"/>
        <v>2885</v>
      </c>
    </row>
    <row r="31" spans="1:22" x14ac:dyDescent="0.25">
      <c r="A31" t="s">
        <v>5</v>
      </c>
      <c r="B31">
        <v>6.2627805600000004</v>
      </c>
      <c r="C31">
        <v>3.3603670000000001</v>
      </c>
      <c r="D31" s="72">
        <v>44154</v>
      </c>
      <c r="E31" t="s">
        <v>4</v>
      </c>
      <c r="F31">
        <v>5</v>
      </c>
      <c r="G31">
        <v>16454</v>
      </c>
      <c r="H31">
        <v>729</v>
      </c>
      <c r="I31">
        <v>0</v>
      </c>
      <c r="J31">
        <v>0</v>
      </c>
      <c r="K31">
        <v>61</v>
      </c>
      <c r="L31">
        <v>0</v>
      </c>
      <c r="M31">
        <v>121</v>
      </c>
      <c r="N31">
        <v>61</v>
      </c>
      <c r="O31">
        <v>121</v>
      </c>
      <c r="P31">
        <v>0</v>
      </c>
      <c r="Q31">
        <v>6132</v>
      </c>
      <c r="R31">
        <v>243</v>
      </c>
      <c r="S31">
        <v>0</v>
      </c>
      <c r="T31">
        <v>0</v>
      </c>
      <c r="U31">
        <v>0</v>
      </c>
      <c r="V31">
        <f t="shared" si="0"/>
        <v>23922</v>
      </c>
    </row>
    <row r="32" spans="1:22" x14ac:dyDescent="0.25">
      <c r="A32" t="s">
        <v>5</v>
      </c>
      <c r="B32">
        <v>6.2627805600000004</v>
      </c>
      <c r="C32">
        <v>3.3603670000000001</v>
      </c>
      <c r="D32" s="72">
        <v>44154</v>
      </c>
      <c r="E32" t="s">
        <v>4</v>
      </c>
      <c r="F32">
        <v>25</v>
      </c>
      <c r="G32">
        <v>9126</v>
      </c>
      <c r="H32">
        <v>824</v>
      </c>
      <c r="I32">
        <v>177</v>
      </c>
      <c r="J32">
        <v>236</v>
      </c>
      <c r="K32">
        <v>294</v>
      </c>
      <c r="L32">
        <v>0</v>
      </c>
      <c r="M32">
        <v>0</v>
      </c>
      <c r="N32">
        <v>294</v>
      </c>
      <c r="O32">
        <v>0</v>
      </c>
      <c r="P32">
        <v>1413</v>
      </c>
      <c r="Q32">
        <v>17487</v>
      </c>
      <c r="R32">
        <v>353</v>
      </c>
      <c r="S32">
        <v>0</v>
      </c>
      <c r="T32">
        <v>0</v>
      </c>
      <c r="U32">
        <v>0</v>
      </c>
      <c r="V32">
        <f t="shared" si="0"/>
        <v>30204</v>
      </c>
    </row>
    <row r="33" spans="1:22" x14ac:dyDescent="0.25">
      <c r="A33" t="s">
        <v>5</v>
      </c>
      <c r="B33">
        <v>6.2627805600000004</v>
      </c>
      <c r="C33">
        <v>3.3603670000000001</v>
      </c>
      <c r="D33" s="72">
        <v>44154</v>
      </c>
      <c r="E33" t="s">
        <v>4</v>
      </c>
      <c r="F33">
        <v>50</v>
      </c>
      <c r="G33">
        <v>2966</v>
      </c>
      <c r="H33">
        <v>218</v>
      </c>
      <c r="I33">
        <v>0</v>
      </c>
      <c r="J33">
        <v>0</v>
      </c>
      <c r="K33">
        <v>174</v>
      </c>
      <c r="L33">
        <v>0</v>
      </c>
      <c r="M33">
        <v>0</v>
      </c>
      <c r="N33">
        <v>0</v>
      </c>
      <c r="O33">
        <v>0</v>
      </c>
      <c r="P33">
        <v>87</v>
      </c>
      <c r="Q33">
        <v>960</v>
      </c>
      <c r="R33">
        <v>305</v>
      </c>
      <c r="S33">
        <v>0</v>
      </c>
      <c r="T33">
        <v>0</v>
      </c>
      <c r="U33">
        <v>698</v>
      </c>
      <c r="V33">
        <f t="shared" si="0"/>
        <v>5408</v>
      </c>
    </row>
    <row r="34" spans="1:22" x14ac:dyDescent="0.25">
      <c r="A34" t="s">
        <v>6</v>
      </c>
      <c r="B34">
        <v>6.3086111100000002</v>
      </c>
      <c r="C34">
        <v>3.3841670000000001</v>
      </c>
      <c r="D34" s="72">
        <v>43517</v>
      </c>
      <c r="E34" t="s">
        <v>3</v>
      </c>
      <c r="F34">
        <v>5</v>
      </c>
      <c r="G34">
        <v>0</v>
      </c>
      <c r="H34">
        <v>2660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f t="shared" si="0"/>
        <v>2660</v>
      </c>
    </row>
    <row r="35" spans="1:22" x14ac:dyDescent="0.25">
      <c r="A35" t="s">
        <v>6</v>
      </c>
      <c r="B35">
        <v>6.3086111100000002</v>
      </c>
      <c r="C35">
        <v>3.3841670000000001</v>
      </c>
      <c r="D35" s="72">
        <v>43517</v>
      </c>
      <c r="E35" t="s">
        <v>3</v>
      </c>
      <c r="F35">
        <v>25</v>
      </c>
      <c r="G35">
        <v>0</v>
      </c>
      <c r="H35">
        <v>2087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f t="shared" si="0"/>
        <v>2087</v>
      </c>
    </row>
    <row r="36" spans="1:22" x14ac:dyDescent="0.25">
      <c r="A36" t="s">
        <v>6</v>
      </c>
      <c r="B36">
        <v>6.3086111100000002</v>
      </c>
      <c r="C36">
        <v>3.3841670000000001</v>
      </c>
      <c r="D36" s="72">
        <v>43517</v>
      </c>
      <c r="E36" t="s">
        <v>3</v>
      </c>
      <c r="F36">
        <v>35</v>
      </c>
      <c r="G36">
        <v>0</v>
      </c>
      <c r="H36">
        <v>1428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f t="shared" si="0"/>
        <v>1428</v>
      </c>
    </row>
    <row r="37" spans="1:22" x14ac:dyDescent="0.25">
      <c r="A37" t="s">
        <v>6</v>
      </c>
      <c r="B37">
        <v>6.3086111100000002</v>
      </c>
      <c r="C37">
        <v>3.3841670000000001</v>
      </c>
      <c r="D37" s="72">
        <v>43560</v>
      </c>
      <c r="E37" t="s">
        <v>3</v>
      </c>
      <c r="F37">
        <v>5</v>
      </c>
      <c r="G37">
        <v>0</v>
      </c>
      <c r="H37">
        <v>5601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f t="shared" si="0"/>
        <v>5601</v>
      </c>
    </row>
    <row r="38" spans="1:22" x14ac:dyDescent="0.25">
      <c r="A38" t="s">
        <v>6</v>
      </c>
      <c r="B38">
        <v>6.3086111100000002</v>
      </c>
      <c r="C38">
        <v>3.3841670000000001</v>
      </c>
      <c r="D38" s="72">
        <v>43560</v>
      </c>
      <c r="E38" t="s">
        <v>3</v>
      </c>
      <c r="F38">
        <v>25</v>
      </c>
      <c r="G38">
        <v>0</v>
      </c>
      <c r="H38">
        <v>2339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f t="shared" si="0"/>
        <v>2339</v>
      </c>
    </row>
    <row r="39" spans="1:22" x14ac:dyDescent="0.25">
      <c r="A39" t="s">
        <v>6</v>
      </c>
      <c r="B39">
        <v>6.3086111100000002</v>
      </c>
      <c r="C39">
        <v>3.3841670000000001</v>
      </c>
      <c r="D39" s="72">
        <v>43560</v>
      </c>
      <c r="E39" t="s">
        <v>3</v>
      </c>
      <c r="F39">
        <v>35</v>
      </c>
      <c r="G39">
        <v>663</v>
      </c>
      <c r="H39">
        <v>12460</v>
      </c>
      <c r="I39">
        <v>133</v>
      </c>
      <c r="J39">
        <v>0</v>
      </c>
      <c r="K39">
        <v>0</v>
      </c>
      <c r="L39">
        <v>0</v>
      </c>
      <c r="M39">
        <v>0</v>
      </c>
      <c r="N39">
        <v>530</v>
      </c>
      <c r="O39">
        <v>0</v>
      </c>
      <c r="P39">
        <v>0</v>
      </c>
      <c r="Q39">
        <v>133</v>
      </c>
      <c r="R39">
        <v>0</v>
      </c>
      <c r="S39">
        <v>0</v>
      </c>
      <c r="T39">
        <v>0</v>
      </c>
      <c r="U39">
        <v>0</v>
      </c>
      <c r="V39">
        <f t="shared" si="0"/>
        <v>13919</v>
      </c>
    </row>
    <row r="40" spans="1:22" x14ac:dyDescent="0.25">
      <c r="A40" t="s">
        <v>6</v>
      </c>
      <c r="B40">
        <v>6.3086111100000002</v>
      </c>
      <c r="C40">
        <v>3.3841670000000001</v>
      </c>
      <c r="D40" s="72">
        <v>43847</v>
      </c>
      <c r="E40" t="s">
        <v>3</v>
      </c>
      <c r="F40">
        <v>25</v>
      </c>
      <c r="G40">
        <v>331</v>
      </c>
      <c r="H40">
        <v>166</v>
      </c>
      <c r="I40">
        <v>0</v>
      </c>
      <c r="J40">
        <v>0</v>
      </c>
      <c r="K40">
        <v>0</v>
      </c>
      <c r="L40">
        <v>0</v>
      </c>
      <c r="M40">
        <v>33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f t="shared" si="0"/>
        <v>530</v>
      </c>
    </row>
    <row r="41" spans="1:22" x14ac:dyDescent="0.25">
      <c r="A41" t="s">
        <v>6</v>
      </c>
      <c r="B41">
        <v>6.3086111100000002</v>
      </c>
      <c r="C41">
        <v>3.3841670000000001</v>
      </c>
      <c r="D41" s="72">
        <v>43847</v>
      </c>
      <c r="E41" t="s">
        <v>3</v>
      </c>
      <c r="F41">
        <v>35</v>
      </c>
      <c r="G41">
        <v>1875</v>
      </c>
      <c r="H41">
        <v>2251</v>
      </c>
      <c r="I41">
        <v>0</v>
      </c>
      <c r="J41">
        <v>0</v>
      </c>
      <c r="K41">
        <v>107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f t="shared" si="0"/>
        <v>4233</v>
      </c>
    </row>
    <row r="42" spans="1:22" x14ac:dyDescent="0.25">
      <c r="A42" t="s">
        <v>6</v>
      </c>
      <c r="B42">
        <v>6.3086111100000002</v>
      </c>
      <c r="C42">
        <v>3.3841670000000001</v>
      </c>
      <c r="D42" s="72">
        <v>43896</v>
      </c>
      <c r="E42" t="s">
        <v>3</v>
      </c>
      <c r="F42">
        <v>5</v>
      </c>
      <c r="G42">
        <v>2300</v>
      </c>
      <c r="H42">
        <v>873</v>
      </c>
      <c r="I42">
        <v>6028</v>
      </c>
      <c r="J42">
        <v>159</v>
      </c>
      <c r="K42">
        <v>0</v>
      </c>
      <c r="L42">
        <v>0</v>
      </c>
      <c r="M42">
        <v>1586</v>
      </c>
      <c r="N42">
        <v>159</v>
      </c>
      <c r="O42">
        <v>0</v>
      </c>
      <c r="P42">
        <v>0</v>
      </c>
      <c r="Q42">
        <v>159</v>
      </c>
      <c r="R42">
        <v>0</v>
      </c>
      <c r="S42">
        <v>0</v>
      </c>
      <c r="T42">
        <v>0</v>
      </c>
      <c r="U42">
        <v>0</v>
      </c>
      <c r="V42">
        <f t="shared" si="0"/>
        <v>11264</v>
      </c>
    </row>
    <row r="43" spans="1:22" x14ac:dyDescent="0.25">
      <c r="A43" t="s">
        <v>6</v>
      </c>
      <c r="B43">
        <v>6.3086111100000002</v>
      </c>
      <c r="C43">
        <v>3.3841670000000001</v>
      </c>
      <c r="D43" s="72">
        <v>43896</v>
      </c>
      <c r="E43" t="s">
        <v>3</v>
      </c>
      <c r="F43">
        <v>25</v>
      </c>
      <c r="G43">
        <v>10609</v>
      </c>
      <c r="H43">
        <v>3441</v>
      </c>
      <c r="I43">
        <v>11182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f t="shared" si="0"/>
        <v>25232</v>
      </c>
    </row>
    <row r="44" spans="1:22" x14ac:dyDescent="0.25">
      <c r="A44" t="s">
        <v>6</v>
      </c>
      <c r="B44">
        <v>6.3086111100000002</v>
      </c>
      <c r="C44">
        <v>3.3841670000000001</v>
      </c>
      <c r="D44" s="72">
        <v>43896</v>
      </c>
      <c r="E44" t="s">
        <v>3</v>
      </c>
      <c r="F44">
        <v>35</v>
      </c>
      <c r="G44">
        <v>1744</v>
      </c>
      <c r="H44">
        <v>1628</v>
      </c>
      <c r="I44">
        <v>9126</v>
      </c>
      <c r="J44">
        <v>1104</v>
      </c>
      <c r="K44">
        <v>0</v>
      </c>
      <c r="L44">
        <v>0</v>
      </c>
      <c r="M44">
        <v>0</v>
      </c>
      <c r="N44">
        <v>523</v>
      </c>
      <c r="O44">
        <v>0</v>
      </c>
      <c r="P44">
        <v>0</v>
      </c>
      <c r="Q44">
        <v>0</v>
      </c>
      <c r="R44">
        <v>116</v>
      </c>
      <c r="S44">
        <v>0</v>
      </c>
      <c r="T44">
        <v>0</v>
      </c>
      <c r="U44">
        <v>0</v>
      </c>
      <c r="V44">
        <f t="shared" si="0"/>
        <v>14241</v>
      </c>
    </row>
    <row r="45" spans="1:22" x14ac:dyDescent="0.25">
      <c r="A45" t="s">
        <v>6</v>
      </c>
      <c r="B45">
        <v>6.3086111100000002</v>
      </c>
      <c r="C45">
        <v>3.3841670000000001</v>
      </c>
      <c r="D45" s="72">
        <v>44187</v>
      </c>
      <c r="E45" t="s">
        <v>3</v>
      </c>
      <c r="F45">
        <v>25</v>
      </c>
      <c r="G45">
        <v>2716</v>
      </c>
      <c r="H45">
        <v>1289</v>
      </c>
      <c r="I45">
        <v>0</v>
      </c>
      <c r="J45">
        <v>92</v>
      </c>
      <c r="K45">
        <v>92</v>
      </c>
      <c r="L45">
        <v>0</v>
      </c>
      <c r="M45">
        <v>0</v>
      </c>
      <c r="N45">
        <v>0</v>
      </c>
      <c r="O45">
        <v>0</v>
      </c>
      <c r="P45">
        <v>0</v>
      </c>
      <c r="Q45">
        <v>1013</v>
      </c>
      <c r="R45">
        <v>0</v>
      </c>
      <c r="S45">
        <v>0</v>
      </c>
      <c r="T45">
        <v>0</v>
      </c>
      <c r="U45">
        <v>0</v>
      </c>
      <c r="V45">
        <f t="shared" si="0"/>
        <v>5202</v>
      </c>
    </row>
    <row r="46" spans="1:22" x14ac:dyDescent="0.25">
      <c r="A46" t="s">
        <v>6</v>
      </c>
      <c r="B46">
        <v>6.3086111100000002</v>
      </c>
      <c r="C46">
        <v>3.3841670000000001</v>
      </c>
      <c r="D46" s="72">
        <v>44215</v>
      </c>
      <c r="E46" t="s">
        <v>3</v>
      </c>
      <c r="F46">
        <v>5</v>
      </c>
      <c r="G46">
        <v>5256</v>
      </c>
      <c r="H46">
        <v>7469</v>
      </c>
      <c r="I46">
        <v>55</v>
      </c>
      <c r="J46">
        <v>55</v>
      </c>
      <c r="K46">
        <v>55</v>
      </c>
      <c r="L46">
        <v>0</v>
      </c>
      <c r="M46">
        <v>0</v>
      </c>
      <c r="N46">
        <v>0</v>
      </c>
      <c r="O46">
        <v>166</v>
      </c>
      <c r="P46">
        <v>277</v>
      </c>
      <c r="Q46">
        <v>166</v>
      </c>
      <c r="R46">
        <v>0</v>
      </c>
      <c r="S46">
        <v>0</v>
      </c>
      <c r="T46">
        <v>0</v>
      </c>
      <c r="U46">
        <v>0</v>
      </c>
      <c r="V46">
        <f t="shared" si="0"/>
        <v>13499</v>
      </c>
    </row>
    <row r="47" spans="1:22" x14ac:dyDescent="0.25">
      <c r="A47" t="s">
        <v>6</v>
      </c>
      <c r="B47">
        <v>6.3086111100000002</v>
      </c>
      <c r="C47">
        <v>3.3841670000000001</v>
      </c>
      <c r="D47" s="72">
        <v>44215</v>
      </c>
      <c r="E47" t="s">
        <v>3</v>
      </c>
      <c r="F47">
        <v>25</v>
      </c>
      <c r="G47">
        <v>6762</v>
      </c>
      <c r="H47">
        <v>10676</v>
      </c>
      <c r="I47">
        <v>0</v>
      </c>
      <c r="J47">
        <v>254</v>
      </c>
      <c r="K47">
        <v>0</v>
      </c>
      <c r="L47">
        <v>0</v>
      </c>
      <c r="M47">
        <v>0</v>
      </c>
      <c r="N47">
        <v>0</v>
      </c>
      <c r="O47">
        <v>0</v>
      </c>
      <c r="P47">
        <v>305</v>
      </c>
      <c r="Q47">
        <v>305</v>
      </c>
      <c r="R47">
        <v>0</v>
      </c>
      <c r="S47">
        <v>0</v>
      </c>
      <c r="T47">
        <v>0</v>
      </c>
      <c r="U47">
        <v>0</v>
      </c>
      <c r="V47">
        <f t="shared" si="0"/>
        <v>18302</v>
      </c>
    </row>
    <row r="48" spans="1:22" x14ac:dyDescent="0.25">
      <c r="A48" t="s">
        <v>6</v>
      </c>
      <c r="B48">
        <v>6.3086111100000002</v>
      </c>
      <c r="C48">
        <v>3.3841670000000001</v>
      </c>
      <c r="D48" s="72">
        <v>44293</v>
      </c>
      <c r="E48" t="s">
        <v>3</v>
      </c>
      <c r="F48">
        <v>5</v>
      </c>
      <c r="G48">
        <v>4208</v>
      </c>
      <c r="H48">
        <v>18327</v>
      </c>
      <c r="I48">
        <v>3598</v>
      </c>
      <c r="J48">
        <v>339</v>
      </c>
      <c r="K48">
        <v>0</v>
      </c>
      <c r="L48">
        <v>0</v>
      </c>
      <c r="M48">
        <v>68</v>
      </c>
      <c r="N48">
        <v>204</v>
      </c>
      <c r="O48">
        <v>0</v>
      </c>
      <c r="P48">
        <v>0</v>
      </c>
      <c r="Q48">
        <v>136</v>
      </c>
      <c r="R48">
        <v>136</v>
      </c>
      <c r="S48">
        <v>0</v>
      </c>
      <c r="T48">
        <v>0</v>
      </c>
      <c r="U48">
        <v>0</v>
      </c>
      <c r="V48">
        <f t="shared" si="0"/>
        <v>27016</v>
      </c>
    </row>
    <row r="49" spans="1:22" x14ac:dyDescent="0.25">
      <c r="A49" t="s">
        <v>6</v>
      </c>
      <c r="B49">
        <v>6.3086111100000002</v>
      </c>
      <c r="C49">
        <v>3.3841670000000001</v>
      </c>
      <c r="D49" s="72">
        <v>44293</v>
      </c>
      <c r="E49" t="s">
        <v>3</v>
      </c>
      <c r="F49">
        <v>25</v>
      </c>
      <c r="G49">
        <v>1254</v>
      </c>
      <c r="H49">
        <v>9855</v>
      </c>
      <c r="I49">
        <v>538</v>
      </c>
      <c r="J49">
        <v>60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119</v>
      </c>
      <c r="R49">
        <v>0</v>
      </c>
      <c r="S49">
        <v>0</v>
      </c>
      <c r="T49">
        <v>0</v>
      </c>
      <c r="U49">
        <v>0</v>
      </c>
      <c r="V49">
        <f t="shared" si="0"/>
        <v>11826</v>
      </c>
    </row>
    <row r="50" spans="1:22" x14ac:dyDescent="0.25">
      <c r="A50" t="s">
        <v>6</v>
      </c>
      <c r="B50">
        <v>6.3086111100000002</v>
      </c>
      <c r="C50">
        <v>3.3841670000000001</v>
      </c>
      <c r="D50" s="72">
        <v>44293</v>
      </c>
      <c r="E50" t="s">
        <v>3</v>
      </c>
      <c r="F50">
        <v>35</v>
      </c>
      <c r="G50">
        <v>1208</v>
      </c>
      <c r="H50">
        <v>4558</v>
      </c>
      <c r="I50">
        <v>55</v>
      </c>
      <c r="J50">
        <v>55</v>
      </c>
      <c r="K50">
        <v>0</v>
      </c>
      <c r="L50">
        <v>0</v>
      </c>
      <c r="M50">
        <v>55</v>
      </c>
      <c r="N50">
        <v>0</v>
      </c>
      <c r="O50">
        <v>0</v>
      </c>
      <c r="P50">
        <v>0</v>
      </c>
      <c r="Q50">
        <v>165</v>
      </c>
      <c r="R50">
        <v>0</v>
      </c>
      <c r="S50">
        <v>0</v>
      </c>
      <c r="T50">
        <v>0</v>
      </c>
      <c r="U50">
        <v>0</v>
      </c>
      <c r="V50">
        <f t="shared" si="0"/>
        <v>6096</v>
      </c>
    </row>
    <row r="51" spans="1:22" x14ac:dyDescent="0.25">
      <c r="A51" t="s">
        <v>6</v>
      </c>
      <c r="B51">
        <v>6.3086111100000002</v>
      </c>
      <c r="C51">
        <v>3.3841670000000001</v>
      </c>
      <c r="D51" s="72">
        <v>43721</v>
      </c>
      <c r="E51" t="s">
        <v>4</v>
      </c>
      <c r="F51">
        <v>5</v>
      </c>
      <c r="G51">
        <v>15531</v>
      </c>
      <c r="H51">
        <v>7675</v>
      </c>
      <c r="I51">
        <v>60</v>
      </c>
      <c r="J51">
        <v>181</v>
      </c>
      <c r="K51">
        <v>121</v>
      </c>
      <c r="L51">
        <v>0</v>
      </c>
      <c r="M51">
        <v>0</v>
      </c>
      <c r="N51">
        <v>0</v>
      </c>
      <c r="O51">
        <v>0</v>
      </c>
      <c r="P51">
        <v>0</v>
      </c>
      <c r="Q51">
        <v>60</v>
      </c>
      <c r="R51">
        <v>60</v>
      </c>
      <c r="S51">
        <v>0</v>
      </c>
      <c r="T51">
        <v>0</v>
      </c>
      <c r="U51">
        <v>0</v>
      </c>
      <c r="V51">
        <f t="shared" si="0"/>
        <v>23688</v>
      </c>
    </row>
    <row r="52" spans="1:22" x14ac:dyDescent="0.25">
      <c r="A52" t="s">
        <v>6</v>
      </c>
      <c r="B52">
        <v>6.3086111100000002</v>
      </c>
      <c r="C52">
        <v>3.3841670000000001</v>
      </c>
      <c r="D52" s="72">
        <v>43721</v>
      </c>
      <c r="E52" t="s">
        <v>4</v>
      </c>
      <c r="F52">
        <v>25</v>
      </c>
      <c r="G52">
        <v>6683</v>
      </c>
      <c r="H52">
        <v>4280</v>
      </c>
      <c r="I52">
        <v>0</v>
      </c>
      <c r="J52">
        <v>375</v>
      </c>
      <c r="K52">
        <v>375</v>
      </c>
      <c r="L52">
        <v>0</v>
      </c>
      <c r="M52">
        <v>0</v>
      </c>
      <c r="N52">
        <v>300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75</v>
      </c>
      <c r="V52">
        <f t="shared" si="0"/>
        <v>12088</v>
      </c>
    </row>
    <row r="53" spans="1:22" x14ac:dyDescent="0.25">
      <c r="A53" t="s">
        <v>6</v>
      </c>
      <c r="B53">
        <v>6.3086111100000002</v>
      </c>
      <c r="C53">
        <v>3.3841670000000001</v>
      </c>
      <c r="D53" s="72">
        <v>43721</v>
      </c>
      <c r="E53" t="s">
        <v>4</v>
      </c>
      <c r="F53">
        <v>35</v>
      </c>
      <c r="G53">
        <v>2380</v>
      </c>
      <c r="H53">
        <v>793</v>
      </c>
      <c r="I53">
        <v>0</v>
      </c>
      <c r="J53">
        <v>397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f t="shared" si="0"/>
        <v>3570</v>
      </c>
    </row>
    <row r="54" spans="1:22" x14ac:dyDescent="0.25">
      <c r="A54" t="s">
        <v>6</v>
      </c>
      <c r="B54">
        <v>6.3086111100000002</v>
      </c>
      <c r="C54">
        <v>3.3841670000000001</v>
      </c>
      <c r="D54" s="72">
        <v>43749</v>
      </c>
      <c r="E54" t="s">
        <v>4</v>
      </c>
      <c r="F54">
        <v>5</v>
      </c>
      <c r="G54">
        <v>25725</v>
      </c>
      <c r="H54">
        <v>9660</v>
      </c>
      <c r="I54">
        <v>0</v>
      </c>
      <c r="J54">
        <v>915</v>
      </c>
      <c r="K54">
        <v>203</v>
      </c>
      <c r="L54">
        <v>0</v>
      </c>
      <c r="M54">
        <v>0</v>
      </c>
      <c r="N54">
        <v>0</v>
      </c>
      <c r="O54">
        <v>203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f t="shared" si="0"/>
        <v>36706</v>
      </c>
    </row>
    <row r="55" spans="1:22" x14ac:dyDescent="0.25">
      <c r="A55" t="s">
        <v>6</v>
      </c>
      <c r="B55">
        <v>6.3086111100000002</v>
      </c>
      <c r="C55">
        <v>3.3841670000000001</v>
      </c>
      <c r="D55" s="72">
        <v>43749</v>
      </c>
      <c r="E55" t="s">
        <v>4</v>
      </c>
      <c r="F55">
        <v>25</v>
      </c>
      <c r="G55">
        <v>17151</v>
      </c>
      <c r="H55">
        <v>8576</v>
      </c>
      <c r="I55">
        <v>0</v>
      </c>
      <c r="J55">
        <v>2246</v>
      </c>
      <c r="K55">
        <v>3675</v>
      </c>
      <c r="L55">
        <v>0</v>
      </c>
      <c r="M55">
        <v>0</v>
      </c>
      <c r="N55">
        <v>3879</v>
      </c>
      <c r="O55">
        <v>306</v>
      </c>
      <c r="P55">
        <v>0</v>
      </c>
      <c r="Q55">
        <v>102</v>
      </c>
      <c r="R55">
        <v>0</v>
      </c>
      <c r="S55">
        <v>0</v>
      </c>
      <c r="T55">
        <v>0</v>
      </c>
      <c r="U55">
        <v>0</v>
      </c>
      <c r="V55">
        <f t="shared" si="0"/>
        <v>35935</v>
      </c>
    </row>
    <row r="56" spans="1:22" x14ac:dyDescent="0.25">
      <c r="A56" t="s">
        <v>6</v>
      </c>
      <c r="B56">
        <v>6.3086111100000002</v>
      </c>
      <c r="C56">
        <v>3.3841670000000001</v>
      </c>
      <c r="D56" s="72">
        <v>43770</v>
      </c>
      <c r="E56" t="s">
        <v>4</v>
      </c>
      <c r="F56">
        <v>5</v>
      </c>
      <c r="G56">
        <v>2299</v>
      </c>
      <c r="H56">
        <v>6515</v>
      </c>
      <c r="I56">
        <v>0</v>
      </c>
      <c r="J56">
        <v>383</v>
      </c>
      <c r="K56">
        <v>671</v>
      </c>
      <c r="L56">
        <v>0</v>
      </c>
      <c r="M56">
        <v>0</v>
      </c>
      <c r="N56">
        <v>0</v>
      </c>
      <c r="O56">
        <v>192</v>
      </c>
      <c r="P56">
        <v>0</v>
      </c>
      <c r="Q56">
        <v>96</v>
      </c>
      <c r="R56">
        <v>0</v>
      </c>
      <c r="S56">
        <v>0</v>
      </c>
      <c r="T56">
        <v>0</v>
      </c>
      <c r="U56">
        <v>0</v>
      </c>
      <c r="V56">
        <f t="shared" si="0"/>
        <v>10156</v>
      </c>
    </row>
    <row r="57" spans="1:22" x14ac:dyDescent="0.25">
      <c r="A57" t="s">
        <v>6</v>
      </c>
      <c r="B57">
        <v>6.3086111100000002</v>
      </c>
      <c r="C57">
        <v>3.3841670000000001</v>
      </c>
      <c r="D57" s="72">
        <v>43770</v>
      </c>
      <c r="E57" t="s">
        <v>4</v>
      </c>
      <c r="F57">
        <v>25</v>
      </c>
      <c r="G57">
        <v>9184</v>
      </c>
      <c r="H57">
        <v>2482</v>
      </c>
      <c r="I57">
        <v>0</v>
      </c>
      <c r="J57">
        <v>745</v>
      </c>
      <c r="K57">
        <v>1158</v>
      </c>
      <c r="L57">
        <v>0</v>
      </c>
      <c r="M57">
        <v>0</v>
      </c>
      <c r="N57">
        <v>0</v>
      </c>
      <c r="O57">
        <v>0</v>
      </c>
      <c r="P57">
        <v>0</v>
      </c>
      <c r="Q57">
        <v>165</v>
      </c>
      <c r="R57">
        <v>0</v>
      </c>
      <c r="S57">
        <v>0</v>
      </c>
      <c r="T57">
        <v>0</v>
      </c>
      <c r="U57">
        <v>0</v>
      </c>
      <c r="V57">
        <f t="shared" si="0"/>
        <v>13734</v>
      </c>
    </row>
    <row r="58" spans="1:22" x14ac:dyDescent="0.25">
      <c r="A58" t="s">
        <v>6</v>
      </c>
      <c r="B58">
        <v>6.3086111100000002</v>
      </c>
      <c r="C58">
        <v>3.3841670000000001</v>
      </c>
      <c r="D58" s="72">
        <v>43770</v>
      </c>
      <c r="E58" t="s">
        <v>4</v>
      </c>
      <c r="F58">
        <v>35</v>
      </c>
      <c r="G58">
        <v>42614</v>
      </c>
      <c r="H58">
        <v>1447</v>
      </c>
      <c r="I58">
        <v>0</v>
      </c>
      <c r="J58">
        <v>1578</v>
      </c>
      <c r="K58">
        <v>263</v>
      </c>
      <c r="L58">
        <v>0</v>
      </c>
      <c r="M58">
        <v>0</v>
      </c>
      <c r="N58">
        <v>1315</v>
      </c>
      <c r="O58">
        <v>0</v>
      </c>
      <c r="P58">
        <v>0</v>
      </c>
      <c r="Q58">
        <v>263</v>
      </c>
      <c r="R58">
        <v>0</v>
      </c>
      <c r="S58">
        <v>0</v>
      </c>
      <c r="T58">
        <v>0</v>
      </c>
      <c r="U58">
        <v>0</v>
      </c>
      <c r="V58">
        <f t="shared" si="0"/>
        <v>47480</v>
      </c>
    </row>
    <row r="59" spans="1:22" x14ac:dyDescent="0.25">
      <c r="A59" t="s">
        <v>6</v>
      </c>
      <c r="B59">
        <v>6.3086111100000002</v>
      </c>
      <c r="C59">
        <v>3.3841670000000001</v>
      </c>
      <c r="D59" s="72">
        <v>44119</v>
      </c>
      <c r="E59" t="s">
        <v>4</v>
      </c>
      <c r="F59">
        <v>5</v>
      </c>
      <c r="G59">
        <v>12137</v>
      </c>
      <c r="H59">
        <v>80</v>
      </c>
      <c r="I59">
        <v>80</v>
      </c>
      <c r="J59">
        <v>0</v>
      </c>
      <c r="K59">
        <v>0</v>
      </c>
      <c r="L59">
        <v>0</v>
      </c>
      <c r="M59">
        <v>0</v>
      </c>
      <c r="N59">
        <v>0</v>
      </c>
      <c r="O59">
        <v>80</v>
      </c>
      <c r="P59">
        <v>80</v>
      </c>
      <c r="Q59">
        <v>80</v>
      </c>
      <c r="R59">
        <v>0</v>
      </c>
      <c r="S59">
        <v>0</v>
      </c>
      <c r="T59">
        <v>0</v>
      </c>
      <c r="U59">
        <v>0</v>
      </c>
      <c r="V59">
        <f t="shared" si="0"/>
        <v>12537</v>
      </c>
    </row>
    <row r="60" spans="1:22" x14ac:dyDescent="0.25">
      <c r="A60" t="s">
        <v>6</v>
      </c>
      <c r="B60">
        <v>6.3086111100000002</v>
      </c>
      <c r="C60">
        <v>3.3841670000000001</v>
      </c>
      <c r="D60" s="72">
        <v>44154</v>
      </c>
      <c r="E60" t="s">
        <v>4</v>
      </c>
      <c r="F60">
        <v>5</v>
      </c>
      <c r="G60">
        <v>6450</v>
      </c>
      <c r="H60">
        <v>362</v>
      </c>
      <c r="I60">
        <v>60</v>
      </c>
      <c r="J60">
        <v>0</v>
      </c>
      <c r="K60">
        <v>60</v>
      </c>
      <c r="L60">
        <v>0</v>
      </c>
      <c r="M60">
        <v>0</v>
      </c>
      <c r="N60">
        <v>60</v>
      </c>
      <c r="O60">
        <v>301</v>
      </c>
      <c r="P60">
        <v>301</v>
      </c>
      <c r="Q60">
        <v>1628</v>
      </c>
      <c r="R60">
        <v>181</v>
      </c>
      <c r="S60">
        <v>0</v>
      </c>
      <c r="T60">
        <v>0</v>
      </c>
      <c r="U60">
        <v>0</v>
      </c>
      <c r="V60">
        <f t="shared" si="0"/>
        <v>9403</v>
      </c>
    </row>
    <row r="61" spans="1:22" x14ac:dyDescent="0.25">
      <c r="A61" t="s">
        <v>6</v>
      </c>
      <c r="B61">
        <v>6.3086111100000002</v>
      </c>
      <c r="C61">
        <v>3.3841670000000001</v>
      </c>
      <c r="D61" s="72">
        <v>44154</v>
      </c>
      <c r="E61" t="s">
        <v>4</v>
      </c>
      <c r="F61">
        <v>25</v>
      </c>
      <c r="G61">
        <v>12271</v>
      </c>
      <c r="H61">
        <v>777</v>
      </c>
      <c r="I61">
        <v>0</v>
      </c>
      <c r="J61">
        <v>0</v>
      </c>
      <c r="K61">
        <v>1087</v>
      </c>
      <c r="L61">
        <v>0</v>
      </c>
      <c r="M61">
        <v>0</v>
      </c>
      <c r="N61">
        <v>78</v>
      </c>
      <c r="O61">
        <v>388</v>
      </c>
      <c r="P61">
        <v>0</v>
      </c>
      <c r="Q61">
        <v>17707</v>
      </c>
      <c r="R61">
        <v>699</v>
      </c>
      <c r="S61">
        <v>0</v>
      </c>
      <c r="T61">
        <v>0</v>
      </c>
      <c r="U61">
        <v>544</v>
      </c>
      <c r="V61">
        <f t="shared" si="0"/>
        <v>33551</v>
      </c>
    </row>
    <row r="62" spans="1:22" x14ac:dyDescent="0.25">
      <c r="A62" t="s">
        <v>7</v>
      </c>
      <c r="B62">
        <v>6.3622222199999996</v>
      </c>
      <c r="C62">
        <v>3.3975</v>
      </c>
      <c r="D62" s="72">
        <v>43517</v>
      </c>
      <c r="E62" t="s">
        <v>3</v>
      </c>
      <c r="F62">
        <v>5</v>
      </c>
      <c r="G62">
        <v>0</v>
      </c>
      <c r="H62">
        <v>2334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f t="shared" si="0"/>
        <v>2334</v>
      </c>
    </row>
    <row r="63" spans="1:22" x14ac:dyDescent="0.25">
      <c r="A63" t="s">
        <v>7</v>
      </c>
      <c r="B63">
        <v>6.3622222199999996</v>
      </c>
      <c r="C63">
        <v>3.3975</v>
      </c>
      <c r="D63" s="72">
        <v>43517</v>
      </c>
      <c r="E63" t="s">
        <v>3</v>
      </c>
      <c r="F63">
        <v>15</v>
      </c>
      <c r="G63">
        <v>438</v>
      </c>
      <c r="H63">
        <v>11289</v>
      </c>
      <c r="I63">
        <v>110</v>
      </c>
      <c r="J63">
        <v>219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f t="shared" si="0"/>
        <v>12056</v>
      </c>
    </row>
    <row r="64" spans="1:22" x14ac:dyDescent="0.25">
      <c r="A64" t="s">
        <v>7</v>
      </c>
      <c r="B64">
        <v>6.3622222199999996</v>
      </c>
      <c r="C64">
        <v>3.3975</v>
      </c>
      <c r="D64" s="72">
        <v>43560</v>
      </c>
      <c r="E64" t="s">
        <v>3</v>
      </c>
      <c r="F64">
        <v>5</v>
      </c>
      <c r="G64">
        <v>328</v>
      </c>
      <c r="H64">
        <v>6889</v>
      </c>
      <c r="I64">
        <v>0</v>
      </c>
      <c r="J64">
        <v>328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f t="shared" si="0"/>
        <v>7545</v>
      </c>
    </row>
    <row r="65" spans="1:22" x14ac:dyDescent="0.25">
      <c r="A65" t="s">
        <v>7</v>
      </c>
      <c r="B65">
        <v>6.3622222199999996</v>
      </c>
      <c r="C65">
        <v>3.3975</v>
      </c>
      <c r="D65" s="72">
        <v>43560</v>
      </c>
      <c r="E65" t="s">
        <v>3</v>
      </c>
      <c r="F65">
        <v>15</v>
      </c>
      <c r="G65">
        <v>960</v>
      </c>
      <c r="H65">
        <v>38038</v>
      </c>
      <c r="I65">
        <v>0</v>
      </c>
      <c r="J65">
        <v>480</v>
      </c>
      <c r="K65">
        <v>0</v>
      </c>
      <c r="L65">
        <v>0</v>
      </c>
      <c r="M65">
        <v>120</v>
      </c>
      <c r="N65">
        <v>360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f t="shared" si="0"/>
        <v>39958</v>
      </c>
    </row>
    <row r="66" spans="1:22" x14ac:dyDescent="0.25">
      <c r="A66" t="s">
        <v>7</v>
      </c>
      <c r="B66">
        <v>6.3622222199999996</v>
      </c>
      <c r="C66">
        <v>3.3975</v>
      </c>
      <c r="D66" s="72">
        <v>43847</v>
      </c>
      <c r="E66" t="s">
        <v>3</v>
      </c>
      <c r="F66">
        <v>5</v>
      </c>
      <c r="G66">
        <v>147</v>
      </c>
      <c r="H66">
        <v>110</v>
      </c>
      <c r="I66">
        <v>0</v>
      </c>
      <c r="J66">
        <v>6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f t="shared" si="0"/>
        <v>263</v>
      </c>
    </row>
    <row r="67" spans="1:22" x14ac:dyDescent="0.25">
      <c r="A67" t="s">
        <v>7</v>
      </c>
      <c r="B67">
        <v>6.3622222199999996</v>
      </c>
      <c r="C67">
        <v>3.3975</v>
      </c>
      <c r="D67" s="72">
        <v>43847</v>
      </c>
      <c r="E67" t="s">
        <v>3</v>
      </c>
      <c r="F67">
        <v>15</v>
      </c>
      <c r="G67">
        <v>1410</v>
      </c>
      <c r="H67">
        <v>1218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f t="shared" ref="V67:V80" si="1">SUM(G67:U67)</f>
        <v>2628</v>
      </c>
    </row>
    <row r="68" spans="1:22" x14ac:dyDescent="0.25">
      <c r="A68" t="s">
        <v>7</v>
      </c>
      <c r="B68">
        <v>6.3622222199999996</v>
      </c>
      <c r="C68">
        <v>3.3975</v>
      </c>
      <c r="D68" s="72">
        <v>43896</v>
      </c>
      <c r="E68" t="s">
        <v>3</v>
      </c>
      <c r="F68">
        <v>5</v>
      </c>
      <c r="G68">
        <v>1249</v>
      </c>
      <c r="H68">
        <v>2443</v>
      </c>
      <c r="I68">
        <v>11998</v>
      </c>
      <c r="J68">
        <v>163</v>
      </c>
      <c r="K68">
        <v>0</v>
      </c>
      <c r="L68">
        <v>0</v>
      </c>
      <c r="M68">
        <v>54</v>
      </c>
      <c r="N68">
        <v>217</v>
      </c>
      <c r="O68">
        <v>0</v>
      </c>
      <c r="P68">
        <v>0</v>
      </c>
      <c r="Q68">
        <v>0</v>
      </c>
      <c r="R68">
        <v>217</v>
      </c>
      <c r="S68">
        <v>0</v>
      </c>
      <c r="T68">
        <v>0</v>
      </c>
      <c r="U68">
        <v>0</v>
      </c>
      <c r="V68">
        <f t="shared" si="1"/>
        <v>16341</v>
      </c>
    </row>
    <row r="69" spans="1:22" x14ac:dyDescent="0.25">
      <c r="A69" t="s">
        <v>7</v>
      </c>
      <c r="B69">
        <v>6.3622222199999996</v>
      </c>
      <c r="C69">
        <v>3.3975</v>
      </c>
      <c r="D69" s="72">
        <v>43896</v>
      </c>
      <c r="E69" t="s">
        <v>3</v>
      </c>
      <c r="F69">
        <v>15</v>
      </c>
      <c r="G69">
        <v>1141</v>
      </c>
      <c r="H69">
        <v>1337</v>
      </c>
      <c r="I69">
        <v>7710</v>
      </c>
      <c r="J69">
        <v>393</v>
      </c>
      <c r="K69">
        <v>0</v>
      </c>
      <c r="L69">
        <v>0</v>
      </c>
      <c r="M69">
        <v>0</v>
      </c>
      <c r="N69">
        <v>118</v>
      </c>
      <c r="O69">
        <v>0</v>
      </c>
      <c r="P69">
        <v>0</v>
      </c>
      <c r="Q69">
        <v>118</v>
      </c>
      <c r="R69">
        <v>0</v>
      </c>
      <c r="S69">
        <v>197</v>
      </c>
      <c r="T69">
        <v>0</v>
      </c>
      <c r="U69">
        <v>0</v>
      </c>
      <c r="V69">
        <f t="shared" si="1"/>
        <v>11014</v>
      </c>
    </row>
    <row r="70" spans="1:22" x14ac:dyDescent="0.25">
      <c r="A70" t="s">
        <v>7</v>
      </c>
      <c r="B70">
        <v>6.3622222199999996</v>
      </c>
      <c r="C70">
        <v>3.3975</v>
      </c>
      <c r="D70" s="72">
        <v>44187</v>
      </c>
      <c r="E70" t="s">
        <v>3</v>
      </c>
      <c r="F70">
        <v>5</v>
      </c>
      <c r="G70">
        <v>1756</v>
      </c>
      <c r="H70">
        <v>1646</v>
      </c>
      <c r="I70">
        <v>0</v>
      </c>
      <c r="J70">
        <v>146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219</v>
      </c>
      <c r="R70">
        <v>0</v>
      </c>
      <c r="S70">
        <v>0</v>
      </c>
      <c r="T70">
        <v>0</v>
      </c>
      <c r="U70">
        <v>0</v>
      </c>
      <c r="V70">
        <f t="shared" si="1"/>
        <v>3767</v>
      </c>
    </row>
    <row r="71" spans="1:22" x14ac:dyDescent="0.25">
      <c r="A71" t="s">
        <v>7</v>
      </c>
      <c r="B71">
        <v>6.3622222199999996</v>
      </c>
      <c r="C71">
        <v>3.3975</v>
      </c>
      <c r="D71" s="72">
        <v>44215</v>
      </c>
      <c r="E71" t="s">
        <v>3</v>
      </c>
      <c r="F71">
        <v>5</v>
      </c>
      <c r="G71">
        <v>2061</v>
      </c>
      <c r="H71">
        <v>9039</v>
      </c>
      <c r="I71">
        <v>0</v>
      </c>
      <c r="J71">
        <v>106</v>
      </c>
      <c r="K71">
        <v>53</v>
      </c>
      <c r="L71">
        <v>0</v>
      </c>
      <c r="M71">
        <v>0</v>
      </c>
      <c r="N71">
        <v>0</v>
      </c>
      <c r="O71">
        <v>0</v>
      </c>
      <c r="P71">
        <v>0</v>
      </c>
      <c r="Q71">
        <v>317</v>
      </c>
      <c r="R71">
        <v>0</v>
      </c>
      <c r="S71">
        <v>0</v>
      </c>
      <c r="T71">
        <v>0</v>
      </c>
      <c r="U71">
        <v>0</v>
      </c>
      <c r="V71">
        <f t="shared" si="1"/>
        <v>11576</v>
      </c>
    </row>
    <row r="72" spans="1:22" x14ac:dyDescent="0.25">
      <c r="A72" t="s">
        <v>7</v>
      </c>
      <c r="B72">
        <v>6.3622222199999996</v>
      </c>
      <c r="C72">
        <v>3.3975</v>
      </c>
      <c r="D72" s="72">
        <v>44293</v>
      </c>
      <c r="E72" t="s">
        <v>3</v>
      </c>
      <c r="F72">
        <v>5</v>
      </c>
      <c r="G72">
        <v>613</v>
      </c>
      <c r="H72">
        <v>17288</v>
      </c>
      <c r="I72">
        <v>858</v>
      </c>
      <c r="J72">
        <v>123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123</v>
      </c>
      <c r="R72">
        <v>0</v>
      </c>
      <c r="S72">
        <v>0</v>
      </c>
      <c r="T72">
        <v>0</v>
      </c>
      <c r="U72">
        <v>0</v>
      </c>
      <c r="V72">
        <f t="shared" si="1"/>
        <v>19005</v>
      </c>
    </row>
    <row r="73" spans="1:22" x14ac:dyDescent="0.25">
      <c r="A73" t="s">
        <v>7</v>
      </c>
      <c r="B73">
        <v>6.3622222199999996</v>
      </c>
      <c r="C73">
        <v>3.3975</v>
      </c>
      <c r="D73" s="72">
        <v>43721</v>
      </c>
      <c r="E73" t="s">
        <v>4</v>
      </c>
      <c r="F73">
        <v>5</v>
      </c>
      <c r="G73">
        <v>10109</v>
      </c>
      <c r="H73">
        <v>10291</v>
      </c>
      <c r="I73">
        <v>91</v>
      </c>
      <c r="J73">
        <v>182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91</v>
      </c>
      <c r="R73">
        <v>0</v>
      </c>
      <c r="S73">
        <v>0</v>
      </c>
      <c r="T73">
        <v>0</v>
      </c>
      <c r="U73">
        <v>0</v>
      </c>
      <c r="V73">
        <f t="shared" si="1"/>
        <v>20764</v>
      </c>
    </row>
    <row r="74" spans="1:22" x14ac:dyDescent="0.25">
      <c r="A74" t="s">
        <v>7</v>
      </c>
      <c r="B74">
        <v>6.3622222199999996</v>
      </c>
      <c r="C74">
        <v>3.3975</v>
      </c>
      <c r="D74" s="72">
        <v>43721</v>
      </c>
      <c r="E74" t="s">
        <v>4</v>
      </c>
      <c r="F74">
        <v>15</v>
      </c>
      <c r="G74">
        <v>1918</v>
      </c>
      <c r="H74">
        <v>1598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f t="shared" si="1"/>
        <v>3516</v>
      </c>
    </row>
    <row r="75" spans="1:22" x14ac:dyDescent="0.25">
      <c r="A75" t="s">
        <v>7</v>
      </c>
      <c r="B75">
        <v>6.3622222199999996</v>
      </c>
      <c r="C75">
        <v>3.3975</v>
      </c>
      <c r="D75" s="72">
        <v>43749</v>
      </c>
      <c r="E75" t="s">
        <v>4</v>
      </c>
      <c r="F75">
        <v>5</v>
      </c>
      <c r="G75">
        <v>13296</v>
      </c>
      <c r="H75">
        <v>3536</v>
      </c>
      <c r="I75">
        <v>0</v>
      </c>
      <c r="J75">
        <v>283</v>
      </c>
      <c r="K75">
        <v>1132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f t="shared" si="1"/>
        <v>18247</v>
      </c>
    </row>
    <row r="76" spans="1:22" x14ac:dyDescent="0.25">
      <c r="A76" t="s">
        <v>7</v>
      </c>
      <c r="B76">
        <v>6.3622222199999996</v>
      </c>
      <c r="C76">
        <v>3.3975</v>
      </c>
      <c r="D76" s="72">
        <v>43749</v>
      </c>
      <c r="E76" t="s">
        <v>4</v>
      </c>
      <c r="F76">
        <v>15</v>
      </c>
      <c r="G76">
        <v>7571</v>
      </c>
      <c r="H76">
        <v>6826</v>
      </c>
      <c r="I76">
        <v>0</v>
      </c>
      <c r="J76">
        <v>0</v>
      </c>
      <c r="K76">
        <v>248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f t="shared" si="1"/>
        <v>14645</v>
      </c>
    </row>
    <row r="77" spans="1:22" x14ac:dyDescent="0.25">
      <c r="A77" t="s">
        <v>7</v>
      </c>
      <c r="B77">
        <v>6.3622222199999996</v>
      </c>
      <c r="C77">
        <v>3.3975</v>
      </c>
      <c r="D77" s="72">
        <v>43770</v>
      </c>
      <c r="E77" t="s">
        <v>4</v>
      </c>
      <c r="F77">
        <v>5</v>
      </c>
      <c r="G77">
        <v>2547</v>
      </c>
      <c r="H77">
        <v>1873</v>
      </c>
      <c r="I77">
        <v>0</v>
      </c>
      <c r="J77">
        <v>150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f t="shared" si="1"/>
        <v>4570</v>
      </c>
    </row>
    <row r="78" spans="1:22" x14ac:dyDescent="0.25">
      <c r="A78" t="s">
        <v>7</v>
      </c>
      <c r="B78">
        <v>6.3622222199999996</v>
      </c>
      <c r="C78">
        <v>3.3975</v>
      </c>
      <c r="D78" s="72">
        <v>43770</v>
      </c>
      <c r="E78" t="s">
        <v>4</v>
      </c>
      <c r="F78">
        <v>15</v>
      </c>
      <c r="G78">
        <v>3310</v>
      </c>
      <c r="H78">
        <v>2648</v>
      </c>
      <c r="I78">
        <v>0</v>
      </c>
      <c r="J78">
        <v>165</v>
      </c>
      <c r="K78">
        <v>276</v>
      </c>
      <c r="L78">
        <v>0</v>
      </c>
      <c r="M78">
        <v>0</v>
      </c>
      <c r="N78">
        <v>55</v>
      </c>
      <c r="O78">
        <v>55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f t="shared" si="1"/>
        <v>6509</v>
      </c>
    </row>
    <row r="79" spans="1:22" x14ac:dyDescent="0.25">
      <c r="A79" t="s">
        <v>7</v>
      </c>
      <c r="B79">
        <v>6.3622222199999996</v>
      </c>
      <c r="C79">
        <v>3.3975</v>
      </c>
      <c r="D79" s="72">
        <v>44119</v>
      </c>
      <c r="E79" t="s">
        <v>4</v>
      </c>
      <c r="F79">
        <v>5</v>
      </c>
      <c r="G79">
        <v>5524</v>
      </c>
      <c r="H79">
        <v>665</v>
      </c>
      <c r="I79">
        <v>0</v>
      </c>
      <c r="J79">
        <v>0</v>
      </c>
      <c r="K79">
        <v>0</v>
      </c>
      <c r="L79">
        <v>0</v>
      </c>
      <c r="M79">
        <v>0</v>
      </c>
      <c r="N79">
        <v>51</v>
      </c>
      <c r="O79">
        <v>0</v>
      </c>
      <c r="P79">
        <v>51</v>
      </c>
      <c r="Q79">
        <v>102</v>
      </c>
      <c r="R79">
        <v>51</v>
      </c>
      <c r="S79">
        <v>0</v>
      </c>
      <c r="T79">
        <v>0</v>
      </c>
      <c r="U79">
        <v>0</v>
      </c>
      <c r="V79">
        <f t="shared" si="1"/>
        <v>6444</v>
      </c>
    </row>
    <row r="80" spans="1:22" x14ac:dyDescent="0.25">
      <c r="A80" t="s">
        <v>7</v>
      </c>
      <c r="B80">
        <v>6.3622222199999996</v>
      </c>
      <c r="C80">
        <v>3.3975</v>
      </c>
      <c r="D80" s="72">
        <v>44154</v>
      </c>
      <c r="E80" t="s">
        <v>4</v>
      </c>
      <c r="F80">
        <v>15</v>
      </c>
      <c r="G80">
        <v>10182</v>
      </c>
      <c r="H80">
        <v>440</v>
      </c>
      <c r="I80">
        <v>0</v>
      </c>
      <c r="J80">
        <v>55</v>
      </c>
      <c r="K80">
        <v>275</v>
      </c>
      <c r="L80">
        <v>0</v>
      </c>
      <c r="M80">
        <v>55</v>
      </c>
      <c r="N80">
        <v>0</v>
      </c>
      <c r="O80">
        <v>275</v>
      </c>
      <c r="P80">
        <v>165</v>
      </c>
      <c r="Q80">
        <v>1816</v>
      </c>
      <c r="R80">
        <v>55</v>
      </c>
      <c r="S80">
        <v>0</v>
      </c>
      <c r="T80">
        <v>0</v>
      </c>
      <c r="U80">
        <v>0</v>
      </c>
      <c r="V80">
        <f t="shared" si="1"/>
        <v>13318</v>
      </c>
    </row>
    <row r="81" spans="4:21" x14ac:dyDescent="0.25">
      <c r="D81" s="72"/>
    </row>
    <row r="82" spans="4:21" x14ac:dyDescent="0.25">
      <c r="D82" s="72"/>
    </row>
    <row r="83" spans="4:21" x14ac:dyDescent="0.25">
      <c r="D83" s="72"/>
    </row>
    <row r="84" spans="4:21" x14ac:dyDescent="0.25">
      <c r="D84" s="72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</row>
    <row r="85" spans="4:21" x14ac:dyDescent="0.25">
      <c r="D85" s="72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</row>
    <row r="86" spans="4:21" x14ac:dyDescent="0.25">
      <c r="D86" s="72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</row>
    <row r="87" spans="4:21" x14ac:dyDescent="0.25">
      <c r="D87" s="72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</row>
    <row r="88" spans="4:21" x14ac:dyDescent="0.25">
      <c r="D88" s="72"/>
    </row>
    <row r="89" spans="4:21" x14ac:dyDescent="0.25">
      <c r="D89" s="72"/>
    </row>
    <row r="90" spans="4:21" x14ac:dyDescent="0.25">
      <c r="D90" s="72"/>
    </row>
    <row r="91" spans="4:21" x14ac:dyDescent="0.25">
      <c r="D91" s="72"/>
    </row>
    <row r="92" spans="4:21" x14ac:dyDescent="0.25">
      <c r="D92" s="72"/>
    </row>
    <row r="93" spans="4:21" x14ac:dyDescent="0.25">
      <c r="D93" s="72"/>
    </row>
    <row r="94" spans="4:21" x14ac:dyDescent="0.25">
      <c r="D94" s="72"/>
    </row>
    <row r="95" spans="4:21" x14ac:dyDescent="0.25">
      <c r="D95" s="72"/>
    </row>
    <row r="96" spans="4:21" x14ac:dyDescent="0.25">
      <c r="D96" s="72"/>
    </row>
    <row r="97" spans="4:4" x14ac:dyDescent="0.25">
      <c r="D97" s="72"/>
    </row>
    <row r="98" spans="4:4" x14ac:dyDescent="0.25">
      <c r="D98" s="72"/>
    </row>
    <row r="99" spans="4:4" x14ac:dyDescent="0.25">
      <c r="D99" s="72"/>
    </row>
    <row r="100" spans="4:4" x14ac:dyDescent="0.25">
      <c r="D100" s="72"/>
    </row>
    <row r="101" spans="4:4" x14ac:dyDescent="0.25">
      <c r="D101" s="72"/>
    </row>
    <row r="102" spans="4:4" x14ac:dyDescent="0.25">
      <c r="D102" s="72"/>
    </row>
    <row r="103" spans="4:4" x14ac:dyDescent="0.25">
      <c r="D103" s="72"/>
    </row>
    <row r="104" spans="4:4" x14ac:dyDescent="0.25">
      <c r="D104" s="72"/>
    </row>
    <row r="105" spans="4:4" x14ac:dyDescent="0.25">
      <c r="D105" s="72"/>
    </row>
    <row r="106" spans="4:4" x14ac:dyDescent="0.25">
      <c r="D106" s="72"/>
    </row>
    <row r="107" spans="4:4" x14ac:dyDescent="0.25">
      <c r="D107" s="72"/>
    </row>
    <row r="108" spans="4:4" x14ac:dyDescent="0.25">
      <c r="D108" s="72"/>
    </row>
    <row r="109" spans="4:4" x14ac:dyDescent="0.25">
      <c r="D109" s="72"/>
    </row>
    <row r="110" spans="4:4" x14ac:dyDescent="0.25">
      <c r="D110" s="72"/>
    </row>
    <row r="111" spans="4:4" x14ac:dyDescent="0.25">
      <c r="D111" s="72"/>
    </row>
    <row r="112" spans="4:4" x14ac:dyDescent="0.25">
      <c r="D112" s="72"/>
    </row>
    <row r="113" spans="4:4" x14ac:dyDescent="0.25">
      <c r="D113" s="72"/>
    </row>
    <row r="114" spans="4:4" x14ac:dyDescent="0.25">
      <c r="D114" s="72"/>
    </row>
    <row r="115" spans="4:4" x14ac:dyDescent="0.25">
      <c r="D115" s="72"/>
    </row>
    <row r="116" spans="4:4" x14ac:dyDescent="0.25">
      <c r="D116" s="72"/>
    </row>
    <row r="117" spans="4:4" x14ac:dyDescent="0.25">
      <c r="D117" s="72"/>
    </row>
    <row r="118" spans="4:4" x14ac:dyDescent="0.25">
      <c r="D118" s="72"/>
    </row>
    <row r="119" spans="4:4" x14ac:dyDescent="0.25">
      <c r="D119" s="72"/>
    </row>
    <row r="120" spans="4:4" x14ac:dyDescent="0.25">
      <c r="D120" s="72"/>
    </row>
    <row r="121" spans="4:4" x14ac:dyDescent="0.25">
      <c r="D121" s="72"/>
    </row>
    <row r="122" spans="4:4" x14ac:dyDescent="0.25">
      <c r="D122" s="72"/>
    </row>
    <row r="123" spans="4:4" x14ac:dyDescent="0.25">
      <c r="D123" s="72"/>
    </row>
    <row r="124" spans="4:4" x14ac:dyDescent="0.25">
      <c r="D124" s="72"/>
    </row>
    <row r="125" spans="4:4" x14ac:dyDescent="0.25">
      <c r="D125" s="72"/>
    </row>
    <row r="126" spans="4:4" x14ac:dyDescent="0.25">
      <c r="D126" s="72"/>
    </row>
    <row r="127" spans="4:4" x14ac:dyDescent="0.25">
      <c r="D127" s="72"/>
    </row>
    <row r="128" spans="4:4" x14ac:dyDescent="0.25">
      <c r="D128" s="72"/>
    </row>
    <row r="129" spans="4:4" x14ac:dyDescent="0.25">
      <c r="D129" s="72"/>
    </row>
    <row r="130" spans="4:4" x14ac:dyDescent="0.25">
      <c r="D130" s="72"/>
    </row>
    <row r="131" spans="4:4" x14ac:dyDescent="0.25">
      <c r="D131" s="72"/>
    </row>
    <row r="132" spans="4:4" x14ac:dyDescent="0.25">
      <c r="D132" s="72"/>
    </row>
    <row r="133" spans="4:4" x14ac:dyDescent="0.25">
      <c r="D133" s="72"/>
    </row>
    <row r="134" spans="4:4" x14ac:dyDescent="0.25">
      <c r="D134" s="72"/>
    </row>
    <row r="135" spans="4:4" x14ac:dyDescent="0.25">
      <c r="D135" s="72"/>
    </row>
    <row r="136" spans="4:4" x14ac:dyDescent="0.25">
      <c r="D136" s="72"/>
    </row>
    <row r="137" spans="4:4" x14ac:dyDescent="0.25">
      <c r="D137" s="72"/>
    </row>
    <row r="138" spans="4:4" x14ac:dyDescent="0.25">
      <c r="D138" s="72"/>
    </row>
    <row r="139" spans="4:4" x14ac:dyDescent="0.25">
      <c r="D139" s="72"/>
    </row>
    <row r="140" spans="4:4" x14ac:dyDescent="0.25">
      <c r="D140" s="72"/>
    </row>
    <row r="141" spans="4:4" x14ac:dyDescent="0.25">
      <c r="D141" s="72"/>
    </row>
    <row r="142" spans="4:4" x14ac:dyDescent="0.25">
      <c r="D142" s="72"/>
    </row>
  </sheetData>
  <pageMargins left="0.7" right="0.7" top="0.75" bottom="0.75" header="0.3" footer="0.3"/>
  <ignoredErrors>
    <ignoredError sqref="V2:V80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3E998-F8F0-4CC0-A860-0C7EA6D26FDD}">
  <dimension ref="A1:V80"/>
  <sheetViews>
    <sheetView tabSelected="1" workbookViewId="0">
      <selection activeCell="Q1" activeCellId="1" sqref="F1:F1048576 Q1:Q1048576"/>
    </sheetView>
  </sheetViews>
  <sheetFormatPr defaultRowHeight="15" x14ac:dyDescent="0.25"/>
  <cols>
    <col min="1" max="1" width="7.140625" bestFit="1" customWidth="1"/>
    <col min="2" max="2" width="11" bestFit="1" customWidth="1"/>
    <col min="3" max="3" width="9.5703125" bestFit="1" customWidth="1"/>
    <col min="4" max="4" width="10.42578125" bestFit="1" customWidth="1"/>
    <col min="5" max="5" width="7.42578125" bestFit="1" customWidth="1"/>
    <col min="6" max="6" width="9.7109375" bestFit="1" customWidth="1"/>
    <col min="7" max="7" width="12.140625" bestFit="1" customWidth="1"/>
    <col min="8" max="8" width="7.42578125" bestFit="1" customWidth="1"/>
    <col min="9" max="9" width="9.7109375" bestFit="1" customWidth="1"/>
    <col min="10" max="10" width="14.140625" bestFit="1" customWidth="1"/>
    <col min="11" max="20" width="12.28515625" customWidth="1"/>
    <col min="21" max="21" width="12.7109375" bestFit="1" customWidth="1"/>
    <col min="22" max="22" width="13.42578125" bestFit="1" customWidth="1"/>
    <col min="24" max="24" width="7" bestFit="1" customWidth="1"/>
    <col min="25" max="25" width="6.42578125" bestFit="1" customWidth="1"/>
    <col min="26" max="26" width="7.42578125" bestFit="1" customWidth="1"/>
    <col min="27" max="27" width="12.7109375" bestFit="1" customWidth="1"/>
    <col min="28" max="28" width="13.42578125" bestFit="1" customWidth="1"/>
  </cols>
  <sheetData>
    <row r="1" spans="1:22" s="77" customFormat="1" ht="33" x14ac:dyDescent="0.25">
      <c r="A1" s="77" t="s">
        <v>90</v>
      </c>
      <c r="B1" s="77" t="s">
        <v>0</v>
      </c>
      <c r="C1" s="77" t="s">
        <v>1</v>
      </c>
      <c r="D1" s="77" t="s">
        <v>114</v>
      </c>
      <c r="E1" s="77" t="s">
        <v>96</v>
      </c>
      <c r="F1" s="77" t="s">
        <v>115</v>
      </c>
      <c r="G1" s="74" t="s">
        <v>116</v>
      </c>
      <c r="H1" s="74" t="s">
        <v>13</v>
      </c>
      <c r="I1" s="74" t="s">
        <v>117</v>
      </c>
      <c r="J1" s="74" t="s">
        <v>118</v>
      </c>
      <c r="K1" s="74" t="s">
        <v>23</v>
      </c>
      <c r="L1" s="75" t="s">
        <v>127</v>
      </c>
      <c r="M1" s="74" t="s">
        <v>119</v>
      </c>
      <c r="N1" s="74" t="s">
        <v>120</v>
      </c>
      <c r="O1" s="76" t="s">
        <v>28</v>
      </c>
      <c r="P1" s="76" t="s">
        <v>30</v>
      </c>
      <c r="Q1" s="74" t="s">
        <v>121</v>
      </c>
      <c r="R1" s="74" t="s">
        <v>122</v>
      </c>
      <c r="S1" s="74" t="s">
        <v>123</v>
      </c>
      <c r="T1" s="74" t="s">
        <v>124</v>
      </c>
      <c r="U1" s="74" t="s">
        <v>126</v>
      </c>
      <c r="V1" s="74" t="s">
        <v>125</v>
      </c>
    </row>
    <row r="2" spans="1:22" x14ac:dyDescent="0.25">
      <c r="A2" t="s">
        <v>5</v>
      </c>
      <c r="B2">
        <v>6.2627805600000004</v>
      </c>
      <c r="C2">
        <v>3.3603670000000001</v>
      </c>
      <c r="D2" s="72">
        <v>43439</v>
      </c>
      <c r="E2" t="s">
        <v>3</v>
      </c>
      <c r="F2">
        <v>5</v>
      </c>
      <c r="G2">
        <v>29.4</v>
      </c>
      <c r="H2">
        <v>31.6</v>
      </c>
      <c r="I2">
        <v>1920.6</v>
      </c>
      <c r="J2">
        <v>2204.1999999999998</v>
      </c>
      <c r="K2">
        <v>8.0020000000000007</v>
      </c>
      <c r="L2">
        <v>439.4</v>
      </c>
      <c r="M2">
        <v>1708.9</v>
      </c>
      <c r="N2">
        <v>200.4</v>
      </c>
      <c r="O2">
        <v>5.01</v>
      </c>
      <c r="P2">
        <v>3.32</v>
      </c>
      <c r="Q2">
        <v>5.16</v>
      </c>
      <c r="R2">
        <v>43.706000000000003</v>
      </c>
      <c r="S2">
        <v>1.0999999999999999E-2</v>
      </c>
      <c r="T2">
        <v>2.2949999999999999</v>
      </c>
      <c r="U2">
        <v>8.3000000000000007</v>
      </c>
      <c r="V2" s="78">
        <v>9.7809777390000008</v>
      </c>
    </row>
    <row r="3" spans="1:22" x14ac:dyDescent="0.25">
      <c r="A3" t="s">
        <v>5</v>
      </c>
      <c r="B3">
        <v>6.2627805600000004</v>
      </c>
      <c r="C3">
        <v>3.3603670000000001</v>
      </c>
      <c r="D3" s="72">
        <v>43439</v>
      </c>
      <c r="E3" t="s">
        <v>3</v>
      </c>
      <c r="F3">
        <v>50</v>
      </c>
      <c r="G3">
        <v>25.2</v>
      </c>
      <c r="H3">
        <v>39.6</v>
      </c>
      <c r="I3">
        <v>2156.6</v>
      </c>
      <c r="J3">
        <v>2372.6</v>
      </c>
      <c r="K3">
        <v>7.82</v>
      </c>
      <c r="L3">
        <v>735.6</v>
      </c>
      <c r="M3">
        <v>1978.2</v>
      </c>
      <c r="N3">
        <v>158.19999999999999</v>
      </c>
      <c r="O3">
        <v>3.63</v>
      </c>
      <c r="P3">
        <v>2.41</v>
      </c>
      <c r="Q3">
        <v>2.3159999999999998</v>
      </c>
      <c r="R3">
        <v>17.902000000000001</v>
      </c>
      <c r="S3">
        <v>8.0000000000000002E-3</v>
      </c>
      <c r="T3">
        <v>1.7849999999999999</v>
      </c>
      <c r="U3">
        <v>7.1</v>
      </c>
      <c r="V3" s="78">
        <v>9.7809777390000008</v>
      </c>
    </row>
    <row r="4" spans="1:22" x14ac:dyDescent="0.25">
      <c r="A4" t="s">
        <v>5</v>
      </c>
      <c r="B4">
        <v>6.2627805600000004</v>
      </c>
      <c r="C4">
        <v>3.3603670000000001</v>
      </c>
      <c r="D4" s="72">
        <v>43517</v>
      </c>
      <c r="E4" t="s">
        <v>3</v>
      </c>
      <c r="F4">
        <v>5</v>
      </c>
      <c r="G4">
        <v>29.9</v>
      </c>
      <c r="H4">
        <v>31</v>
      </c>
      <c r="I4">
        <v>1825.3</v>
      </c>
      <c r="J4">
        <v>2117.1999999999998</v>
      </c>
      <c r="K4">
        <v>8.0210000000000008</v>
      </c>
      <c r="L4">
        <v>400.1</v>
      </c>
      <c r="M4">
        <v>1616.5</v>
      </c>
      <c r="N4">
        <v>198.5</v>
      </c>
      <c r="O4">
        <v>5</v>
      </c>
      <c r="P4">
        <v>3.31</v>
      </c>
      <c r="Q4">
        <v>10.951000000000001</v>
      </c>
      <c r="R4">
        <v>43.545000000000002</v>
      </c>
      <c r="S4">
        <v>5.0000000000000001E-3</v>
      </c>
      <c r="T4">
        <v>2.83</v>
      </c>
      <c r="U4">
        <v>5.8</v>
      </c>
      <c r="V4" s="78">
        <v>88.948924140000003</v>
      </c>
    </row>
    <row r="5" spans="1:22" x14ac:dyDescent="0.25">
      <c r="A5" t="s">
        <v>5</v>
      </c>
      <c r="B5">
        <v>6.2627805600000004</v>
      </c>
      <c r="C5">
        <v>3.3603670000000001</v>
      </c>
      <c r="D5" s="72">
        <v>43517</v>
      </c>
      <c r="E5" t="s">
        <v>3</v>
      </c>
      <c r="F5">
        <v>25</v>
      </c>
      <c r="G5">
        <v>29.8</v>
      </c>
      <c r="H5">
        <v>30.8</v>
      </c>
      <c r="I5">
        <v>1981.6</v>
      </c>
      <c r="J5">
        <v>2233.1</v>
      </c>
      <c r="K5">
        <v>7.9249999999999998</v>
      </c>
      <c r="L5">
        <v>552.4</v>
      </c>
      <c r="M5">
        <v>1792.1</v>
      </c>
      <c r="N5">
        <v>175.3</v>
      </c>
      <c r="O5">
        <v>4.4000000000000004</v>
      </c>
      <c r="P5">
        <v>2.92</v>
      </c>
      <c r="Q5">
        <v>13.478</v>
      </c>
      <c r="R5">
        <v>54.189</v>
      </c>
      <c r="S5">
        <v>1.9E-2</v>
      </c>
      <c r="T5">
        <v>2.83</v>
      </c>
      <c r="U5">
        <v>5.8</v>
      </c>
      <c r="V5" s="78">
        <v>88.948924140000003</v>
      </c>
    </row>
    <row r="6" spans="1:22" x14ac:dyDescent="0.25">
      <c r="A6" t="s">
        <v>5</v>
      </c>
      <c r="B6">
        <v>6.2627805600000004</v>
      </c>
      <c r="C6">
        <v>3.3603670000000001</v>
      </c>
      <c r="D6" s="72">
        <v>43517</v>
      </c>
      <c r="E6" t="s">
        <v>3</v>
      </c>
      <c r="F6">
        <v>50</v>
      </c>
      <c r="G6">
        <v>29</v>
      </c>
      <c r="H6">
        <v>33</v>
      </c>
      <c r="I6">
        <v>2132.6999999999998</v>
      </c>
      <c r="J6">
        <v>2254.5</v>
      </c>
      <c r="K6">
        <v>7.6150000000000002</v>
      </c>
      <c r="L6">
        <v>1240.2</v>
      </c>
      <c r="M6">
        <v>2002</v>
      </c>
      <c r="N6">
        <v>98.5</v>
      </c>
      <c r="O6">
        <v>2.41</v>
      </c>
      <c r="P6">
        <v>1.61</v>
      </c>
      <c r="Q6">
        <v>11.582000000000001</v>
      </c>
      <c r="R6">
        <v>21.771999999999998</v>
      </c>
      <c r="S6">
        <v>5.0000000000000001E-3</v>
      </c>
      <c r="T6">
        <v>3.33</v>
      </c>
      <c r="U6">
        <v>5.4</v>
      </c>
      <c r="V6" s="78">
        <v>88.948924140000003</v>
      </c>
    </row>
    <row r="7" spans="1:22" x14ac:dyDescent="0.25">
      <c r="A7" t="s">
        <v>5</v>
      </c>
      <c r="B7">
        <v>6.2627805600000004</v>
      </c>
      <c r="C7">
        <v>3.3603670000000001</v>
      </c>
      <c r="D7" s="72">
        <v>43560</v>
      </c>
      <c r="E7" t="s">
        <v>3</v>
      </c>
      <c r="F7">
        <v>25</v>
      </c>
      <c r="G7">
        <v>29</v>
      </c>
      <c r="H7">
        <v>32.799999999999997</v>
      </c>
      <c r="I7">
        <v>2016.6</v>
      </c>
      <c r="J7">
        <v>2200</v>
      </c>
      <c r="K7">
        <v>7.766</v>
      </c>
      <c r="L7">
        <v>818.4</v>
      </c>
      <c r="M7">
        <v>1866.1</v>
      </c>
      <c r="N7">
        <v>129.19999999999999</v>
      </c>
      <c r="O7">
        <v>3.18</v>
      </c>
      <c r="P7">
        <v>2.12</v>
      </c>
      <c r="Q7">
        <v>15.584</v>
      </c>
      <c r="R7">
        <v>33.061999999999998</v>
      </c>
      <c r="S7">
        <v>5.0000000000000001E-3</v>
      </c>
      <c r="T7">
        <v>5.3280000000000003</v>
      </c>
      <c r="U7">
        <v>2.1</v>
      </c>
      <c r="V7" s="78">
        <v>145.21086639999999</v>
      </c>
    </row>
    <row r="8" spans="1:22" x14ac:dyDescent="0.25">
      <c r="A8" t="s">
        <v>5</v>
      </c>
      <c r="B8">
        <v>6.2627805600000004</v>
      </c>
      <c r="C8">
        <v>3.3603670000000001</v>
      </c>
      <c r="D8" s="72">
        <v>43560</v>
      </c>
      <c r="E8" t="s">
        <v>3</v>
      </c>
      <c r="F8">
        <v>50</v>
      </c>
      <c r="G8">
        <v>29.6</v>
      </c>
      <c r="H8">
        <v>33.6</v>
      </c>
      <c r="I8">
        <v>1973.2</v>
      </c>
      <c r="J8">
        <v>2231</v>
      </c>
      <c r="K8">
        <v>7.9210000000000003</v>
      </c>
      <c r="L8">
        <v>544.79999999999995</v>
      </c>
      <c r="M8">
        <v>1776.3</v>
      </c>
      <c r="N8">
        <v>183</v>
      </c>
      <c r="O8">
        <v>4.4800000000000004</v>
      </c>
      <c r="P8">
        <v>2.99</v>
      </c>
      <c r="Q8">
        <v>4.7380000000000004</v>
      </c>
      <c r="R8">
        <v>45.973999999999997</v>
      </c>
      <c r="S8">
        <v>3.0000000000000001E-3</v>
      </c>
      <c r="T8">
        <v>6.16</v>
      </c>
      <c r="U8">
        <v>8.1999999999999993</v>
      </c>
      <c r="V8" s="78">
        <v>145.21086639999999</v>
      </c>
    </row>
    <row r="9" spans="1:22" x14ac:dyDescent="0.25">
      <c r="A9" t="s">
        <v>5</v>
      </c>
      <c r="B9">
        <v>6.2627805600000004</v>
      </c>
      <c r="C9">
        <v>3.3603670000000001</v>
      </c>
      <c r="D9" s="72">
        <v>43721</v>
      </c>
      <c r="E9" t="s">
        <v>3</v>
      </c>
      <c r="F9">
        <v>5</v>
      </c>
      <c r="G9">
        <v>27.1</v>
      </c>
      <c r="H9">
        <v>32.1</v>
      </c>
      <c r="I9" t="s">
        <v>45</v>
      </c>
      <c r="J9" t="s">
        <v>45</v>
      </c>
      <c r="K9" t="s">
        <v>45</v>
      </c>
      <c r="L9" t="s">
        <v>45</v>
      </c>
      <c r="M9" t="s">
        <v>45</v>
      </c>
      <c r="N9" t="s">
        <v>45</v>
      </c>
      <c r="O9" t="s">
        <v>45</v>
      </c>
      <c r="P9" t="s">
        <v>45</v>
      </c>
      <c r="Q9">
        <v>4.3E-3</v>
      </c>
      <c r="R9">
        <v>105.97499999999999</v>
      </c>
      <c r="S9">
        <v>2.8260000000000001</v>
      </c>
      <c r="T9">
        <v>1.675</v>
      </c>
      <c r="U9">
        <v>19.8</v>
      </c>
      <c r="V9" s="78">
        <v>108.87479860000001</v>
      </c>
    </row>
    <row r="10" spans="1:22" x14ac:dyDescent="0.25">
      <c r="A10" t="s">
        <v>5</v>
      </c>
      <c r="B10">
        <v>6.2627805600000004</v>
      </c>
      <c r="C10">
        <v>3.3603670000000001</v>
      </c>
      <c r="D10" s="72">
        <v>43721</v>
      </c>
      <c r="E10" t="s">
        <v>3</v>
      </c>
      <c r="F10">
        <v>25</v>
      </c>
      <c r="G10">
        <v>27.4</v>
      </c>
      <c r="H10">
        <v>32</v>
      </c>
      <c r="I10" t="s">
        <v>45</v>
      </c>
      <c r="J10" t="s">
        <v>45</v>
      </c>
      <c r="K10" t="s">
        <v>45</v>
      </c>
      <c r="L10" t="s">
        <v>45</v>
      </c>
      <c r="M10" t="s">
        <v>45</v>
      </c>
      <c r="N10" t="s">
        <v>45</v>
      </c>
      <c r="O10" t="s">
        <v>45</v>
      </c>
      <c r="P10" t="s">
        <v>45</v>
      </c>
      <c r="Q10">
        <v>6.3E-3</v>
      </c>
      <c r="R10">
        <v>99.911000000000001</v>
      </c>
      <c r="S10">
        <v>2.8260000000000001</v>
      </c>
      <c r="T10">
        <v>10.23</v>
      </c>
      <c r="U10">
        <v>21.1</v>
      </c>
      <c r="V10" s="78">
        <v>108.87479860000001</v>
      </c>
    </row>
    <row r="11" spans="1:22" x14ac:dyDescent="0.25">
      <c r="A11" t="s">
        <v>5</v>
      </c>
      <c r="B11">
        <v>6.2627805600000004</v>
      </c>
      <c r="C11">
        <v>3.3603670000000001</v>
      </c>
      <c r="D11" s="72">
        <v>43749</v>
      </c>
      <c r="E11" t="s">
        <v>4</v>
      </c>
      <c r="F11">
        <v>5</v>
      </c>
      <c r="G11">
        <v>27.5</v>
      </c>
      <c r="H11">
        <v>33.5</v>
      </c>
      <c r="I11">
        <v>2022.7</v>
      </c>
      <c r="J11">
        <v>2299.1999999999998</v>
      </c>
      <c r="K11">
        <v>7.9859999999999998</v>
      </c>
      <c r="L11">
        <v>472.4</v>
      </c>
      <c r="M11">
        <v>1809.3</v>
      </c>
      <c r="N11">
        <v>200.7</v>
      </c>
      <c r="O11">
        <v>4.8899999999999997</v>
      </c>
      <c r="P11">
        <v>3.24</v>
      </c>
      <c r="Q11">
        <v>4.4000000000000003E-3</v>
      </c>
      <c r="R11">
        <v>49.963999999999999</v>
      </c>
      <c r="S11">
        <v>2.1520000000000001</v>
      </c>
      <c r="T11">
        <v>2.8450000000000002</v>
      </c>
      <c r="U11">
        <v>12.4</v>
      </c>
      <c r="V11" s="78">
        <v>179.1621845</v>
      </c>
    </row>
    <row r="12" spans="1:22" x14ac:dyDescent="0.25">
      <c r="A12" t="s">
        <v>5</v>
      </c>
      <c r="B12">
        <v>6.2627805600000004</v>
      </c>
      <c r="C12">
        <v>3.3603670000000001</v>
      </c>
      <c r="D12" s="72">
        <v>43749</v>
      </c>
      <c r="E12" t="s">
        <v>4</v>
      </c>
      <c r="F12">
        <v>25</v>
      </c>
      <c r="G12">
        <v>28.2</v>
      </c>
      <c r="H12">
        <v>33.200000000000003</v>
      </c>
      <c r="I12">
        <v>1979.7</v>
      </c>
      <c r="J12">
        <v>2376.6999999999998</v>
      </c>
      <c r="K12">
        <v>8.1590000000000007</v>
      </c>
      <c r="L12">
        <v>298.2</v>
      </c>
      <c r="M12">
        <v>1688.4</v>
      </c>
      <c r="N12">
        <v>283.39999999999998</v>
      </c>
      <c r="O12">
        <v>6.96</v>
      </c>
      <c r="P12">
        <v>4.62</v>
      </c>
      <c r="Q12">
        <v>6.3E-3</v>
      </c>
      <c r="R12">
        <v>74.945999999999998</v>
      </c>
      <c r="S12">
        <v>2.1520000000000001</v>
      </c>
      <c r="T12">
        <v>6.2009999999999996</v>
      </c>
      <c r="U12">
        <v>11.8</v>
      </c>
      <c r="V12" s="78">
        <v>179.1621845</v>
      </c>
    </row>
    <row r="13" spans="1:22" x14ac:dyDescent="0.25">
      <c r="A13" t="s">
        <v>5</v>
      </c>
      <c r="B13">
        <v>6.2627805600000004</v>
      </c>
      <c r="C13">
        <v>3.3603670000000001</v>
      </c>
      <c r="D13" s="72">
        <v>43749</v>
      </c>
      <c r="E13" t="s">
        <v>4</v>
      </c>
      <c r="F13">
        <v>50</v>
      </c>
      <c r="G13">
        <v>28.7</v>
      </c>
      <c r="H13">
        <v>34</v>
      </c>
      <c r="I13" t="s">
        <v>45</v>
      </c>
      <c r="J13" t="s">
        <v>45</v>
      </c>
      <c r="K13" t="s">
        <v>45</v>
      </c>
      <c r="L13" t="s">
        <v>45</v>
      </c>
      <c r="M13" t="s">
        <v>45</v>
      </c>
      <c r="N13" t="s">
        <v>45</v>
      </c>
      <c r="O13" t="s">
        <v>45</v>
      </c>
      <c r="P13" t="s">
        <v>45</v>
      </c>
      <c r="Q13">
        <v>5.1999999999999998E-3</v>
      </c>
      <c r="R13">
        <v>106.12</v>
      </c>
      <c r="S13">
        <v>2.8260000000000001</v>
      </c>
      <c r="T13">
        <v>3.855</v>
      </c>
      <c r="U13">
        <v>20.100000000000001</v>
      </c>
      <c r="V13" s="78">
        <v>179.1621845</v>
      </c>
    </row>
    <row r="14" spans="1:22" x14ac:dyDescent="0.25">
      <c r="A14" t="s">
        <v>5</v>
      </c>
      <c r="B14">
        <v>6.2627805600000004</v>
      </c>
      <c r="C14">
        <v>3.3603670000000001</v>
      </c>
      <c r="D14" s="72">
        <v>43770</v>
      </c>
      <c r="E14" t="s">
        <v>4</v>
      </c>
      <c r="F14">
        <v>5</v>
      </c>
      <c r="G14">
        <v>27.3</v>
      </c>
      <c r="H14">
        <v>32.799999999999997</v>
      </c>
      <c r="I14">
        <v>1961.9</v>
      </c>
      <c r="J14">
        <v>2254.4</v>
      </c>
      <c r="K14">
        <v>8.0329999999999995</v>
      </c>
      <c r="L14">
        <v>409.2</v>
      </c>
      <c r="M14">
        <v>1740.9</v>
      </c>
      <c r="N14">
        <v>209.9</v>
      </c>
      <c r="O14">
        <v>5.16</v>
      </c>
      <c r="P14">
        <v>3.41</v>
      </c>
      <c r="Q14">
        <v>0.31590000000000001</v>
      </c>
      <c r="R14">
        <v>17.741</v>
      </c>
      <c r="S14">
        <v>1E-4</v>
      </c>
      <c r="T14">
        <v>2.6629999999999998</v>
      </c>
      <c r="U14">
        <v>12.3</v>
      </c>
      <c r="V14" s="78">
        <v>89.131089599999996</v>
      </c>
    </row>
    <row r="15" spans="1:22" x14ac:dyDescent="0.25">
      <c r="A15" t="s">
        <v>5</v>
      </c>
      <c r="B15">
        <v>6.2627805600000004</v>
      </c>
      <c r="C15">
        <v>3.3603670000000001</v>
      </c>
      <c r="D15" s="72">
        <v>43770</v>
      </c>
      <c r="E15" t="s">
        <v>4</v>
      </c>
      <c r="F15">
        <v>25</v>
      </c>
      <c r="G15">
        <v>27</v>
      </c>
      <c r="H15">
        <v>33.799999999999997</v>
      </c>
      <c r="I15">
        <v>2022.7</v>
      </c>
      <c r="J15">
        <v>2333</v>
      </c>
      <c r="K15">
        <v>8.0410000000000004</v>
      </c>
      <c r="L15">
        <v>409.4</v>
      </c>
      <c r="M15">
        <v>1788.6</v>
      </c>
      <c r="N15">
        <v>223</v>
      </c>
      <c r="O15">
        <v>5.42</v>
      </c>
      <c r="P15">
        <v>3.59</v>
      </c>
      <c r="Q15">
        <v>0.31590000000000001</v>
      </c>
      <c r="R15">
        <v>17.902000000000001</v>
      </c>
      <c r="S15">
        <v>1E-4</v>
      </c>
      <c r="T15">
        <v>3.9950000000000001</v>
      </c>
      <c r="U15">
        <v>15.1</v>
      </c>
      <c r="V15" s="78">
        <v>89.131089599999996</v>
      </c>
    </row>
    <row r="16" spans="1:22" x14ac:dyDescent="0.25">
      <c r="A16" t="s">
        <v>5</v>
      </c>
      <c r="B16">
        <v>6.2627805600000004</v>
      </c>
      <c r="C16">
        <v>3.3603670000000001</v>
      </c>
      <c r="D16" s="72">
        <v>43770</v>
      </c>
      <c r="E16" t="s">
        <v>4</v>
      </c>
      <c r="F16">
        <v>50</v>
      </c>
      <c r="G16">
        <v>26.8</v>
      </c>
      <c r="H16">
        <v>35.4</v>
      </c>
      <c r="I16">
        <v>2060.8000000000002</v>
      </c>
      <c r="J16">
        <v>2341.1999999999998</v>
      </c>
      <c r="K16">
        <v>7.9710000000000001</v>
      </c>
      <c r="L16">
        <v>492.7</v>
      </c>
      <c r="M16">
        <v>1845.6</v>
      </c>
      <c r="N16">
        <v>201.9</v>
      </c>
      <c r="O16">
        <v>4.83</v>
      </c>
      <c r="P16">
        <v>3.2</v>
      </c>
      <c r="Q16">
        <v>0.73709999999999998</v>
      </c>
      <c r="R16">
        <v>5.806</v>
      </c>
      <c r="S16">
        <v>4.0000000000000002E-4</v>
      </c>
      <c r="T16">
        <v>0.999</v>
      </c>
      <c r="U16">
        <v>6.6</v>
      </c>
      <c r="V16" s="78">
        <v>89.131089599999996</v>
      </c>
    </row>
    <row r="17" spans="1:22" x14ac:dyDescent="0.25">
      <c r="A17" t="s">
        <v>5</v>
      </c>
      <c r="B17">
        <v>6.2627805600000004</v>
      </c>
      <c r="C17">
        <v>3.3603670000000001</v>
      </c>
      <c r="D17" s="72">
        <v>43847</v>
      </c>
      <c r="E17" t="s">
        <v>4</v>
      </c>
      <c r="F17">
        <v>5</v>
      </c>
      <c r="G17">
        <v>30.1</v>
      </c>
      <c r="H17">
        <v>30.7</v>
      </c>
      <c r="I17">
        <v>1840.2</v>
      </c>
      <c r="J17">
        <v>2128.1</v>
      </c>
      <c r="K17">
        <v>8.02</v>
      </c>
      <c r="L17">
        <v>405.7</v>
      </c>
      <c r="M17">
        <v>1630.2</v>
      </c>
      <c r="N17">
        <v>199.6</v>
      </c>
      <c r="O17">
        <v>5.04</v>
      </c>
      <c r="P17">
        <v>3.34</v>
      </c>
      <c r="Q17">
        <v>7.2649999999999997</v>
      </c>
      <c r="R17">
        <v>33.868000000000002</v>
      </c>
      <c r="S17">
        <v>0.02</v>
      </c>
      <c r="T17">
        <v>6.8259999999999996</v>
      </c>
      <c r="U17">
        <v>6.2</v>
      </c>
      <c r="V17" s="78">
        <v>247.82902480000001</v>
      </c>
    </row>
    <row r="18" spans="1:22" x14ac:dyDescent="0.25">
      <c r="A18" t="s">
        <v>5</v>
      </c>
      <c r="B18">
        <v>6.2627805600000004</v>
      </c>
      <c r="C18">
        <v>3.3603670000000001</v>
      </c>
      <c r="D18" s="72">
        <v>43847</v>
      </c>
      <c r="E18" t="s">
        <v>4</v>
      </c>
      <c r="F18">
        <v>25</v>
      </c>
      <c r="G18">
        <v>30</v>
      </c>
      <c r="H18">
        <v>31.4</v>
      </c>
      <c r="I18">
        <v>1892</v>
      </c>
      <c r="J18">
        <v>2169.3000000000002</v>
      </c>
      <c r="K18">
        <v>7.9829999999999997</v>
      </c>
      <c r="L18">
        <v>455</v>
      </c>
      <c r="M18">
        <v>1687.8</v>
      </c>
      <c r="N18">
        <v>192.6</v>
      </c>
      <c r="O18">
        <v>4.82</v>
      </c>
      <c r="P18">
        <v>3.2</v>
      </c>
      <c r="Q18">
        <v>8.5289999999999999</v>
      </c>
      <c r="R18">
        <v>34.191000000000003</v>
      </c>
      <c r="S18">
        <v>4.0000000000000001E-3</v>
      </c>
      <c r="T18">
        <v>5.1609999999999996</v>
      </c>
      <c r="U18">
        <v>5.0999999999999996</v>
      </c>
      <c r="V18" s="78">
        <v>247.82902480000001</v>
      </c>
    </row>
    <row r="19" spans="1:22" x14ac:dyDescent="0.25">
      <c r="A19" t="s">
        <v>5</v>
      </c>
      <c r="B19">
        <v>6.2627805600000004</v>
      </c>
      <c r="C19">
        <v>3.3603670000000001</v>
      </c>
      <c r="D19" s="72">
        <v>43847</v>
      </c>
      <c r="E19" t="s">
        <v>4</v>
      </c>
      <c r="F19">
        <v>50</v>
      </c>
      <c r="G19">
        <v>30.6</v>
      </c>
      <c r="H19">
        <v>33.6</v>
      </c>
      <c r="I19" t="s">
        <v>45</v>
      </c>
      <c r="J19" t="s">
        <v>45</v>
      </c>
      <c r="K19" t="s">
        <v>45</v>
      </c>
      <c r="L19" t="s">
        <v>45</v>
      </c>
      <c r="M19" t="s">
        <v>45</v>
      </c>
      <c r="N19" t="s">
        <v>45</v>
      </c>
      <c r="O19" t="s">
        <v>45</v>
      </c>
      <c r="P19" t="s">
        <v>45</v>
      </c>
      <c r="Q19">
        <v>0.21099999999999999</v>
      </c>
      <c r="R19">
        <v>39.512999999999998</v>
      </c>
      <c r="S19">
        <v>2E-3</v>
      </c>
      <c r="T19">
        <v>0.999</v>
      </c>
      <c r="U19">
        <v>18.3</v>
      </c>
      <c r="V19" s="78">
        <v>247.82902480000001</v>
      </c>
    </row>
    <row r="20" spans="1:22" x14ac:dyDescent="0.25">
      <c r="A20" t="s">
        <v>5</v>
      </c>
      <c r="B20">
        <v>6.2627805600000004</v>
      </c>
      <c r="C20">
        <v>3.3603670000000001</v>
      </c>
      <c r="D20" s="72">
        <v>43896</v>
      </c>
      <c r="E20" t="s">
        <v>4</v>
      </c>
      <c r="F20">
        <v>5</v>
      </c>
      <c r="G20">
        <v>30.5</v>
      </c>
      <c r="H20">
        <v>33.5</v>
      </c>
      <c r="I20">
        <v>1975.7</v>
      </c>
      <c r="J20">
        <v>2267.4</v>
      </c>
      <c r="K20">
        <v>7.9729999999999999</v>
      </c>
      <c r="L20">
        <v>479.9</v>
      </c>
      <c r="M20">
        <v>1754</v>
      </c>
      <c r="N20">
        <v>209.7</v>
      </c>
      <c r="O20">
        <v>5.16</v>
      </c>
      <c r="P20">
        <v>3.45</v>
      </c>
      <c r="Q20">
        <v>0.42099999999999999</v>
      </c>
      <c r="R20">
        <v>31.992999999999999</v>
      </c>
      <c r="S20">
        <v>1E-3</v>
      </c>
      <c r="T20">
        <v>1.498</v>
      </c>
      <c r="U20">
        <v>11.8</v>
      </c>
      <c r="V20" s="78">
        <v>538.45165050000003</v>
      </c>
    </row>
    <row r="21" spans="1:22" x14ac:dyDescent="0.25">
      <c r="A21" t="s">
        <v>5</v>
      </c>
      <c r="B21">
        <v>6.2627805600000004</v>
      </c>
      <c r="C21">
        <v>3.3603670000000001</v>
      </c>
      <c r="D21" s="72">
        <v>43896</v>
      </c>
      <c r="E21" t="s">
        <v>4</v>
      </c>
      <c r="F21">
        <v>25</v>
      </c>
      <c r="G21">
        <v>24</v>
      </c>
      <c r="H21">
        <v>34</v>
      </c>
      <c r="I21">
        <v>2130</v>
      </c>
      <c r="J21">
        <v>2364.4</v>
      </c>
      <c r="K21">
        <v>7.9420000000000002</v>
      </c>
      <c r="L21">
        <v>546.79999999999995</v>
      </c>
      <c r="M21">
        <v>1940.1</v>
      </c>
      <c r="N21">
        <v>173.9</v>
      </c>
      <c r="O21">
        <v>4.18</v>
      </c>
      <c r="P21">
        <v>2.75</v>
      </c>
      <c r="Q21">
        <v>0.52600000000000002</v>
      </c>
      <c r="R21">
        <v>38.887999999999998</v>
      </c>
      <c r="S21">
        <v>1E-3</v>
      </c>
      <c r="T21">
        <v>1.9970000000000001</v>
      </c>
      <c r="U21">
        <v>11.1</v>
      </c>
      <c r="V21" s="78">
        <v>538.45165050000003</v>
      </c>
    </row>
    <row r="22" spans="1:22" x14ac:dyDescent="0.25">
      <c r="A22" t="s">
        <v>5</v>
      </c>
      <c r="B22">
        <v>6.2627805600000004</v>
      </c>
      <c r="C22">
        <v>3.3603670000000001</v>
      </c>
      <c r="D22" s="72">
        <v>43896</v>
      </c>
      <c r="E22" t="s">
        <v>4</v>
      </c>
      <c r="F22">
        <v>50</v>
      </c>
      <c r="G22">
        <v>31.4</v>
      </c>
      <c r="H22">
        <v>33.4</v>
      </c>
      <c r="I22">
        <v>1930.5</v>
      </c>
      <c r="J22">
        <v>2260.1</v>
      </c>
      <c r="K22">
        <v>8.0269999999999992</v>
      </c>
      <c r="L22">
        <v>410.9</v>
      </c>
      <c r="M22">
        <v>1686.1</v>
      </c>
      <c r="N22">
        <v>234.3</v>
      </c>
      <c r="O22">
        <v>5.8</v>
      </c>
      <c r="P22">
        <v>3.89</v>
      </c>
      <c r="Q22">
        <v>0.23200000000000001</v>
      </c>
      <c r="R22">
        <v>44.350999999999999</v>
      </c>
      <c r="S22">
        <v>3.0000000000000001E-3</v>
      </c>
      <c r="T22">
        <v>2.4969999999999999</v>
      </c>
      <c r="U22">
        <v>19.100000000000001</v>
      </c>
      <c r="V22" s="78">
        <v>538.45165050000003</v>
      </c>
    </row>
    <row r="23" spans="1:22" x14ac:dyDescent="0.25">
      <c r="A23" t="s">
        <v>5</v>
      </c>
      <c r="B23">
        <v>6.2627805600000004</v>
      </c>
      <c r="C23">
        <v>3.3603670000000001</v>
      </c>
      <c r="D23" s="72">
        <v>44154</v>
      </c>
      <c r="E23" t="s">
        <v>3</v>
      </c>
      <c r="F23">
        <v>5</v>
      </c>
      <c r="G23">
        <v>27.1</v>
      </c>
      <c r="H23">
        <v>31.8</v>
      </c>
      <c r="I23">
        <v>2125.1</v>
      </c>
      <c r="J23">
        <v>2364.5</v>
      </c>
      <c r="K23">
        <v>7.9349999999999996</v>
      </c>
      <c r="L23">
        <v>570</v>
      </c>
      <c r="M23">
        <v>1929.6</v>
      </c>
      <c r="N23">
        <v>179.9</v>
      </c>
      <c r="O23">
        <v>4.46</v>
      </c>
      <c r="P23">
        <v>2.94</v>
      </c>
      <c r="Q23">
        <v>0.42120000000000002</v>
      </c>
      <c r="R23">
        <v>17.094999999999999</v>
      </c>
      <c r="S23">
        <v>1E-4</v>
      </c>
      <c r="T23">
        <v>15.811999999999999</v>
      </c>
      <c r="U23">
        <v>13.6</v>
      </c>
      <c r="V23" s="78">
        <v>10.08373008</v>
      </c>
    </row>
    <row r="24" spans="1:22" x14ac:dyDescent="0.25">
      <c r="A24" t="s">
        <v>5</v>
      </c>
      <c r="B24">
        <v>6.2627805600000004</v>
      </c>
      <c r="C24">
        <v>3.3603670000000001</v>
      </c>
      <c r="D24" s="72">
        <v>44154</v>
      </c>
      <c r="E24" t="s">
        <v>3</v>
      </c>
      <c r="F24">
        <v>25</v>
      </c>
      <c r="G24">
        <v>27</v>
      </c>
      <c r="H24">
        <v>31.8</v>
      </c>
      <c r="I24">
        <v>2003.8</v>
      </c>
      <c r="J24">
        <v>2377.3000000000002</v>
      </c>
      <c r="K24">
        <v>8.16</v>
      </c>
      <c r="L24">
        <v>303.8</v>
      </c>
      <c r="M24">
        <v>1726.4</v>
      </c>
      <c r="N24">
        <v>269</v>
      </c>
      <c r="O24">
        <v>6.66</v>
      </c>
      <c r="P24">
        <v>4.3899999999999997</v>
      </c>
      <c r="Q24">
        <v>0.57920000000000005</v>
      </c>
      <c r="R24">
        <v>21.45</v>
      </c>
      <c r="S24">
        <v>1E-4</v>
      </c>
      <c r="T24">
        <v>9.1539999999999999</v>
      </c>
      <c r="U24">
        <v>12.2</v>
      </c>
      <c r="V24" s="78">
        <v>10.08373008</v>
      </c>
    </row>
    <row r="25" spans="1:22" x14ac:dyDescent="0.25">
      <c r="A25" t="s">
        <v>5</v>
      </c>
      <c r="B25">
        <v>6.2627805600000004</v>
      </c>
      <c r="C25">
        <v>3.3603670000000001</v>
      </c>
      <c r="D25" s="72">
        <v>44154</v>
      </c>
      <c r="E25" t="s">
        <v>3</v>
      </c>
      <c r="F25">
        <v>50</v>
      </c>
      <c r="G25">
        <v>28.8</v>
      </c>
      <c r="H25">
        <v>29.8</v>
      </c>
      <c r="I25">
        <v>1980.1</v>
      </c>
      <c r="J25">
        <v>2119.4</v>
      </c>
      <c r="K25">
        <v>7.7469999999999999</v>
      </c>
      <c r="L25">
        <v>859.3</v>
      </c>
      <c r="M25">
        <v>1844.9</v>
      </c>
      <c r="N25">
        <v>112.4</v>
      </c>
      <c r="O25">
        <v>2.85</v>
      </c>
      <c r="P25">
        <v>1.87</v>
      </c>
      <c r="Q25">
        <v>0.42120000000000002</v>
      </c>
      <c r="R25">
        <v>32.094000000000001</v>
      </c>
      <c r="S25">
        <v>5.9999999999999995E-4</v>
      </c>
      <c r="T25">
        <v>5.992</v>
      </c>
      <c r="U25">
        <v>9.9</v>
      </c>
      <c r="V25" s="78">
        <v>10.08373008</v>
      </c>
    </row>
    <row r="26" spans="1:22" x14ac:dyDescent="0.25">
      <c r="A26" t="s">
        <v>5</v>
      </c>
      <c r="B26">
        <v>6.2627805600000004</v>
      </c>
      <c r="C26">
        <v>3.3603670000000001</v>
      </c>
      <c r="D26" s="72">
        <v>44187</v>
      </c>
      <c r="E26" t="s">
        <v>3</v>
      </c>
      <c r="F26">
        <v>5</v>
      </c>
      <c r="G26">
        <v>27.9</v>
      </c>
      <c r="H26">
        <v>33.9</v>
      </c>
      <c r="I26">
        <v>2095.6</v>
      </c>
      <c r="J26">
        <v>2336.8000000000002</v>
      </c>
      <c r="K26">
        <v>7.9039999999999999</v>
      </c>
      <c r="L26">
        <v>600.29999999999995</v>
      </c>
      <c r="M26">
        <v>1901</v>
      </c>
      <c r="N26">
        <v>178.6</v>
      </c>
      <c r="O26">
        <v>4.3499999999999996</v>
      </c>
      <c r="P26">
        <v>2.89</v>
      </c>
      <c r="Q26">
        <v>0.57909999999999995</v>
      </c>
      <c r="R26">
        <v>38.542999999999999</v>
      </c>
      <c r="S26">
        <v>4.0000000000000002E-4</v>
      </c>
      <c r="T26">
        <v>6.99</v>
      </c>
      <c r="U26">
        <v>11.2</v>
      </c>
      <c r="V26" s="78">
        <v>116.037736</v>
      </c>
    </row>
    <row r="27" spans="1:22" x14ac:dyDescent="0.25">
      <c r="A27" t="s">
        <v>5</v>
      </c>
      <c r="B27">
        <v>6.2627805600000004</v>
      </c>
      <c r="C27">
        <v>3.3603670000000001</v>
      </c>
      <c r="D27" s="72">
        <v>44187</v>
      </c>
      <c r="E27" t="s">
        <v>3</v>
      </c>
      <c r="F27">
        <v>50</v>
      </c>
      <c r="G27">
        <v>28.9</v>
      </c>
      <c r="H27">
        <v>29.8</v>
      </c>
      <c r="I27">
        <v>1927</v>
      </c>
      <c r="J27">
        <v>2026.7</v>
      </c>
      <c r="K27">
        <v>7.6449999999999996</v>
      </c>
      <c r="L27">
        <v>1067.8</v>
      </c>
      <c r="M27">
        <v>1811.2</v>
      </c>
      <c r="N27">
        <v>87.6</v>
      </c>
      <c r="O27">
        <v>2.2200000000000002</v>
      </c>
      <c r="P27">
        <v>1.46</v>
      </c>
      <c r="Q27">
        <v>0.43169999999999997</v>
      </c>
      <c r="R27">
        <v>25.643000000000001</v>
      </c>
      <c r="S27">
        <v>5.0000000000000001E-4</v>
      </c>
      <c r="T27">
        <v>7.6559999999999997</v>
      </c>
      <c r="U27">
        <v>6.8</v>
      </c>
      <c r="V27" s="78">
        <v>116.037736</v>
      </c>
    </row>
    <row r="28" spans="1:22" x14ac:dyDescent="0.25">
      <c r="A28" t="s">
        <v>5</v>
      </c>
      <c r="B28">
        <v>6.2627805600000004</v>
      </c>
      <c r="C28">
        <v>3.3603670000000001</v>
      </c>
      <c r="D28" s="72">
        <v>44215</v>
      </c>
      <c r="E28" t="s">
        <v>4</v>
      </c>
      <c r="F28">
        <v>5</v>
      </c>
      <c r="G28">
        <v>31.2</v>
      </c>
      <c r="H28">
        <v>33.5</v>
      </c>
      <c r="I28">
        <v>1943.7</v>
      </c>
      <c r="J28">
        <v>2258.1</v>
      </c>
      <c r="K28">
        <v>8.0030000000000001</v>
      </c>
      <c r="L28">
        <v>438.3</v>
      </c>
      <c r="M28">
        <v>1708.7</v>
      </c>
      <c r="N28">
        <v>224.2</v>
      </c>
      <c r="O28">
        <v>5.52</v>
      </c>
      <c r="P28">
        <v>3.7</v>
      </c>
      <c r="Q28">
        <v>0.316</v>
      </c>
      <c r="R28">
        <v>36.774000000000001</v>
      </c>
      <c r="S28">
        <v>1E-3</v>
      </c>
      <c r="T28">
        <v>1.6639999999999999</v>
      </c>
      <c r="U28">
        <v>16.8</v>
      </c>
      <c r="V28" s="78">
        <v>97.087636000000003</v>
      </c>
    </row>
    <row r="29" spans="1:22" x14ac:dyDescent="0.25">
      <c r="A29" t="s">
        <v>5</v>
      </c>
      <c r="B29">
        <v>6.2627805600000004</v>
      </c>
      <c r="C29">
        <v>3.3603670000000001</v>
      </c>
      <c r="D29" s="72">
        <v>44215</v>
      </c>
      <c r="E29" t="s">
        <v>4</v>
      </c>
      <c r="F29">
        <v>25</v>
      </c>
      <c r="G29">
        <v>30.2</v>
      </c>
      <c r="H29">
        <v>33.1</v>
      </c>
      <c r="I29">
        <v>1968.3</v>
      </c>
      <c r="J29">
        <v>2241</v>
      </c>
      <c r="K29">
        <v>7.9530000000000003</v>
      </c>
      <c r="L29">
        <v>503.7</v>
      </c>
      <c r="M29">
        <v>1758.7</v>
      </c>
      <c r="N29">
        <v>196.9</v>
      </c>
      <c r="O29">
        <v>4.8499999999999996</v>
      </c>
      <c r="P29">
        <v>3.24</v>
      </c>
      <c r="Q29">
        <v>0.33700000000000002</v>
      </c>
      <c r="R29">
        <v>36.935000000000002</v>
      </c>
      <c r="S29">
        <v>1E-3</v>
      </c>
      <c r="T29">
        <v>4.4939999999999998</v>
      </c>
      <c r="U29">
        <v>12.3</v>
      </c>
      <c r="V29" s="78">
        <v>97.087636000000003</v>
      </c>
    </row>
    <row r="30" spans="1:22" x14ac:dyDescent="0.25">
      <c r="A30" t="s">
        <v>5</v>
      </c>
      <c r="B30">
        <v>6.2627805600000004</v>
      </c>
      <c r="C30">
        <v>3.3603670000000001</v>
      </c>
      <c r="D30" s="72">
        <v>44215</v>
      </c>
      <c r="E30" t="s">
        <v>4</v>
      </c>
      <c r="F30">
        <v>50</v>
      </c>
      <c r="G30">
        <v>31.4</v>
      </c>
      <c r="H30">
        <v>33.4</v>
      </c>
      <c r="I30">
        <v>1938.9</v>
      </c>
      <c r="J30">
        <v>2203.3000000000002</v>
      </c>
      <c r="K30">
        <v>7.923</v>
      </c>
      <c r="L30">
        <v>537.4</v>
      </c>
      <c r="M30">
        <v>1735.8</v>
      </c>
      <c r="N30">
        <v>189.9</v>
      </c>
      <c r="O30">
        <v>4.7</v>
      </c>
      <c r="P30">
        <v>3.15</v>
      </c>
      <c r="Q30">
        <v>0.84199999999999997</v>
      </c>
      <c r="R30">
        <v>42.582000000000001</v>
      </c>
      <c r="S30">
        <v>1E-3</v>
      </c>
      <c r="T30">
        <v>3.9950000000000001</v>
      </c>
      <c r="U30">
        <v>8.6999999999999993</v>
      </c>
      <c r="V30" s="78">
        <v>97.087636000000003</v>
      </c>
    </row>
    <row r="31" spans="1:22" x14ac:dyDescent="0.25">
      <c r="A31" t="s">
        <v>5</v>
      </c>
      <c r="B31">
        <v>6.2627805600000004</v>
      </c>
      <c r="C31">
        <v>3.3603670000000001</v>
      </c>
      <c r="D31" s="72">
        <v>44293</v>
      </c>
      <c r="E31" t="s">
        <v>3</v>
      </c>
      <c r="F31">
        <v>5</v>
      </c>
      <c r="G31">
        <v>30.5</v>
      </c>
      <c r="H31">
        <v>34</v>
      </c>
      <c r="I31">
        <v>1950.8</v>
      </c>
      <c r="J31">
        <v>2277.6999999999998</v>
      </c>
      <c r="K31">
        <v>8.0239999999999991</v>
      </c>
      <c r="L31">
        <v>415.7</v>
      </c>
      <c r="M31">
        <v>1708.4</v>
      </c>
      <c r="N31">
        <v>232.1</v>
      </c>
      <c r="O31">
        <v>5.69</v>
      </c>
      <c r="P31">
        <v>3.81</v>
      </c>
      <c r="Q31">
        <v>0.63200000000000001</v>
      </c>
      <c r="R31">
        <v>57.576000000000001</v>
      </c>
      <c r="S31">
        <v>1E-3</v>
      </c>
      <c r="T31">
        <v>1.3320000000000001</v>
      </c>
      <c r="U31">
        <v>11.4</v>
      </c>
      <c r="V31" s="78">
        <v>0.47634494999999999</v>
      </c>
    </row>
    <row r="32" spans="1:22" x14ac:dyDescent="0.25">
      <c r="A32" t="s">
        <v>5</v>
      </c>
      <c r="B32">
        <v>6.2627805600000004</v>
      </c>
      <c r="C32">
        <v>3.3603670000000001</v>
      </c>
      <c r="D32" s="72">
        <v>44293</v>
      </c>
      <c r="E32" t="s">
        <v>3</v>
      </c>
      <c r="F32">
        <v>25</v>
      </c>
      <c r="G32">
        <v>27.8</v>
      </c>
      <c r="H32">
        <v>31.7</v>
      </c>
      <c r="I32">
        <v>1954.4</v>
      </c>
      <c r="J32">
        <v>2223.8000000000002</v>
      </c>
      <c r="K32">
        <v>8.0050000000000008</v>
      </c>
      <c r="L32">
        <v>442.3</v>
      </c>
      <c r="M32">
        <v>1747.2</v>
      </c>
      <c r="N32">
        <v>195.3</v>
      </c>
      <c r="O32">
        <v>4.8600000000000003</v>
      </c>
      <c r="P32">
        <v>3.21</v>
      </c>
      <c r="Q32">
        <v>5.8999999999999999E-3</v>
      </c>
      <c r="R32">
        <v>81.929000000000002</v>
      </c>
      <c r="S32">
        <v>1.4350000000000001</v>
      </c>
      <c r="T32">
        <v>8.0470000000000006</v>
      </c>
      <c r="U32">
        <v>16.2</v>
      </c>
      <c r="V32" s="78">
        <v>0.47634494999999999</v>
      </c>
    </row>
    <row r="33" spans="1:22" x14ac:dyDescent="0.25">
      <c r="A33" t="s">
        <v>5</v>
      </c>
      <c r="B33">
        <v>6.2627805600000004</v>
      </c>
      <c r="C33">
        <v>3.3603670000000001</v>
      </c>
      <c r="D33" s="72">
        <v>44293</v>
      </c>
      <c r="E33" t="s">
        <v>3</v>
      </c>
      <c r="F33">
        <v>50</v>
      </c>
      <c r="G33">
        <v>27.3</v>
      </c>
      <c r="H33">
        <v>33.299999999999997</v>
      </c>
      <c r="I33">
        <v>2027.9</v>
      </c>
      <c r="J33">
        <v>2367.1</v>
      </c>
      <c r="K33">
        <v>8.0850000000000009</v>
      </c>
      <c r="L33">
        <v>368.4</v>
      </c>
      <c r="M33">
        <v>1773.7</v>
      </c>
      <c r="N33">
        <v>244.3</v>
      </c>
      <c r="O33">
        <v>5.97</v>
      </c>
      <c r="P33">
        <v>3.95</v>
      </c>
      <c r="Q33">
        <v>4.1999999999999997E-3</v>
      </c>
      <c r="R33">
        <v>87.427999999999997</v>
      </c>
      <c r="S33">
        <v>1.413</v>
      </c>
      <c r="T33">
        <v>1.6719999999999999</v>
      </c>
      <c r="U33">
        <v>20.7</v>
      </c>
      <c r="V33" s="78">
        <v>0.47634494999999999</v>
      </c>
    </row>
    <row r="34" spans="1:22" x14ac:dyDescent="0.25">
      <c r="A34" t="s">
        <v>6</v>
      </c>
      <c r="B34">
        <v>6.3086111100000002</v>
      </c>
      <c r="C34">
        <v>3.3841670000000001</v>
      </c>
      <c r="D34" s="72">
        <v>43517</v>
      </c>
      <c r="E34" t="s">
        <v>3</v>
      </c>
      <c r="F34">
        <v>5</v>
      </c>
      <c r="G34">
        <v>28</v>
      </c>
      <c r="H34">
        <v>33.4</v>
      </c>
      <c r="I34">
        <v>2176.1999999999998</v>
      </c>
      <c r="J34">
        <v>2356.1999999999998</v>
      </c>
      <c r="K34">
        <v>7.782</v>
      </c>
      <c r="L34">
        <v>843.3</v>
      </c>
      <c r="M34">
        <v>2012.2</v>
      </c>
      <c r="N34">
        <v>141.69999999999999</v>
      </c>
      <c r="O34">
        <v>3.46</v>
      </c>
      <c r="P34">
        <v>2.2999999999999998</v>
      </c>
      <c r="Q34">
        <v>0.42120000000000002</v>
      </c>
      <c r="R34">
        <v>32.901000000000003</v>
      </c>
      <c r="S34">
        <v>5.9999999999999995E-4</v>
      </c>
      <c r="T34">
        <v>5.8250000000000002</v>
      </c>
      <c r="U34">
        <v>19.100000000000001</v>
      </c>
      <c r="V34" s="78">
        <v>100.63296099999999</v>
      </c>
    </row>
    <row r="35" spans="1:22" x14ac:dyDescent="0.25">
      <c r="A35" t="s">
        <v>6</v>
      </c>
      <c r="B35">
        <v>6.3086111100000002</v>
      </c>
      <c r="C35">
        <v>3.3841670000000001</v>
      </c>
      <c r="D35" s="72">
        <v>43517</v>
      </c>
      <c r="E35" t="s">
        <v>3</v>
      </c>
      <c r="F35">
        <v>25</v>
      </c>
      <c r="G35">
        <v>28.3</v>
      </c>
      <c r="H35">
        <v>34.700000000000003</v>
      </c>
      <c r="I35">
        <v>2175.5</v>
      </c>
      <c r="J35">
        <v>2410.1999999999998</v>
      </c>
      <c r="K35">
        <v>7.8659999999999997</v>
      </c>
      <c r="L35">
        <v>680.8</v>
      </c>
      <c r="M35">
        <v>1981.1</v>
      </c>
      <c r="N35">
        <v>176.7</v>
      </c>
      <c r="O35">
        <v>4.2699999999999996</v>
      </c>
      <c r="P35">
        <v>2.84</v>
      </c>
      <c r="Q35">
        <v>0.34749999999999998</v>
      </c>
      <c r="R35">
        <v>32.578000000000003</v>
      </c>
      <c r="S35">
        <v>2.9999999999999997E-4</v>
      </c>
      <c r="T35">
        <v>1.831</v>
      </c>
      <c r="U35">
        <v>13.2</v>
      </c>
      <c r="V35" s="78">
        <v>100.63296099999999</v>
      </c>
    </row>
    <row r="36" spans="1:22" x14ac:dyDescent="0.25">
      <c r="A36" t="s">
        <v>6</v>
      </c>
      <c r="B36">
        <v>6.3086111100000002</v>
      </c>
      <c r="C36">
        <v>3.3841670000000001</v>
      </c>
      <c r="D36" s="72">
        <v>43517</v>
      </c>
      <c r="E36" t="s">
        <v>3</v>
      </c>
      <c r="F36">
        <v>35</v>
      </c>
      <c r="G36">
        <v>27.8</v>
      </c>
      <c r="H36">
        <v>28.6</v>
      </c>
      <c r="I36">
        <v>1940.7</v>
      </c>
      <c r="J36">
        <v>2080</v>
      </c>
      <c r="K36">
        <v>7.78</v>
      </c>
      <c r="L36">
        <v>781.8</v>
      </c>
      <c r="M36">
        <v>1808.1</v>
      </c>
      <c r="N36">
        <v>111.2</v>
      </c>
      <c r="O36">
        <v>2.84</v>
      </c>
      <c r="P36">
        <v>1.85</v>
      </c>
      <c r="Q36">
        <v>0.93710000000000004</v>
      </c>
      <c r="R36">
        <v>33.545999999999999</v>
      </c>
      <c r="S36">
        <v>2.9999999999999997E-4</v>
      </c>
      <c r="T36">
        <v>9.9860000000000007</v>
      </c>
      <c r="U36">
        <v>19.8</v>
      </c>
      <c r="V36" s="78">
        <v>100.63296099999999</v>
      </c>
    </row>
    <row r="37" spans="1:22" x14ac:dyDescent="0.25">
      <c r="A37" t="s">
        <v>6</v>
      </c>
      <c r="B37">
        <v>6.3086111100000002</v>
      </c>
      <c r="C37">
        <v>3.3841670000000001</v>
      </c>
      <c r="D37" s="72">
        <v>43560</v>
      </c>
      <c r="E37" t="s">
        <v>3</v>
      </c>
      <c r="F37">
        <v>5</v>
      </c>
      <c r="G37">
        <v>27.8</v>
      </c>
      <c r="H37">
        <v>32.5</v>
      </c>
      <c r="I37">
        <v>2169.8000000000002</v>
      </c>
      <c r="J37">
        <v>2463.8000000000002</v>
      </c>
      <c r="K37">
        <v>7.9989999999999997</v>
      </c>
      <c r="L37">
        <v>495</v>
      </c>
      <c r="M37">
        <v>1938.3</v>
      </c>
      <c r="N37">
        <v>218.2</v>
      </c>
      <c r="O37">
        <v>5.38</v>
      </c>
      <c r="P37">
        <v>3.56</v>
      </c>
      <c r="Q37">
        <v>1.0528999999999999</v>
      </c>
      <c r="R37">
        <v>32.094000000000001</v>
      </c>
      <c r="S37">
        <v>4.0000000000000002E-4</v>
      </c>
      <c r="T37">
        <v>4.9930000000000003</v>
      </c>
      <c r="U37">
        <v>18.2</v>
      </c>
      <c r="V37" s="78">
        <v>156.32718320000001</v>
      </c>
    </row>
    <row r="38" spans="1:22" x14ac:dyDescent="0.25">
      <c r="A38" t="s">
        <v>6</v>
      </c>
      <c r="B38">
        <v>6.3086111100000002</v>
      </c>
      <c r="C38">
        <v>3.3841670000000001</v>
      </c>
      <c r="D38" s="72">
        <v>43560</v>
      </c>
      <c r="E38" t="s">
        <v>3</v>
      </c>
      <c r="F38">
        <v>25</v>
      </c>
      <c r="G38">
        <v>28.4</v>
      </c>
      <c r="H38">
        <v>32.4</v>
      </c>
      <c r="I38">
        <v>1974.9</v>
      </c>
      <c r="J38">
        <v>2207.9</v>
      </c>
      <c r="K38">
        <v>7.92</v>
      </c>
      <c r="L38">
        <v>550.79999999999995</v>
      </c>
      <c r="M38">
        <v>1789.4</v>
      </c>
      <c r="N38">
        <v>171</v>
      </c>
      <c r="O38">
        <v>4.2300000000000004</v>
      </c>
      <c r="P38">
        <v>2.8</v>
      </c>
      <c r="Q38">
        <v>8.4199999999999997E-2</v>
      </c>
      <c r="R38">
        <v>3.7090000000000001</v>
      </c>
      <c r="S38">
        <v>0.2356</v>
      </c>
      <c r="T38">
        <v>5.992</v>
      </c>
      <c r="U38">
        <v>9.6</v>
      </c>
      <c r="V38" s="78">
        <v>156.32718320000001</v>
      </c>
    </row>
    <row r="39" spans="1:22" x14ac:dyDescent="0.25">
      <c r="A39" t="s">
        <v>6</v>
      </c>
      <c r="B39">
        <v>6.3086111100000002</v>
      </c>
      <c r="C39">
        <v>3.3841670000000001</v>
      </c>
      <c r="D39" s="72">
        <v>43560</v>
      </c>
      <c r="E39" t="s">
        <v>3</v>
      </c>
      <c r="F39">
        <v>35</v>
      </c>
      <c r="G39">
        <v>26.4</v>
      </c>
      <c r="H39">
        <v>34</v>
      </c>
      <c r="I39">
        <v>2087.6</v>
      </c>
      <c r="J39">
        <v>2297.8000000000002</v>
      </c>
      <c r="K39">
        <v>7.8689999999999998</v>
      </c>
      <c r="L39">
        <v>647.5</v>
      </c>
      <c r="M39">
        <v>1912</v>
      </c>
      <c r="N39">
        <v>157.80000000000001</v>
      </c>
      <c r="O39">
        <v>3.83</v>
      </c>
      <c r="P39">
        <v>2.5299999999999998</v>
      </c>
      <c r="Q39">
        <v>9.4799999999999995E-2</v>
      </c>
      <c r="R39">
        <v>0.48399999999999999</v>
      </c>
      <c r="S39">
        <v>0.2878</v>
      </c>
      <c r="T39">
        <v>1.831</v>
      </c>
      <c r="U39">
        <v>12.4</v>
      </c>
      <c r="V39" s="78">
        <v>156.32718320000001</v>
      </c>
    </row>
    <row r="40" spans="1:22" x14ac:dyDescent="0.25">
      <c r="A40" t="s">
        <v>6</v>
      </c>
      <c r="B40">
        <v>6.3086111100000002</v>
      </c>
      <c r="C40">
        <v>3.3841670000000001</v>
      </c>
      <c r="D40" s="72">
        <v>43721</v>
      </c>
      <c r="E40" t="s">
        <v>3</v>
      </c>
      <c r="F40">
        <v>5</v>
      </c>
      <c r="G40">
        <v>30.1</v>
      </c>
      <c r="H40">
        <v>32.6</v>
      </c>
      <c r="I40">
        <v>1877.7</v>
      </c>
      <c r="J40">
        <v>2093.4</v>
      </c>
      <c r="K40">
        <v>7.87</v>
      </c>
      <c r="L40">
        <v>594.29999999999995</v>
      </c>
      <c r="M40">
        <v>1707.5</v>
      </c>
      <c r="N40">
        <v>155.19999999999999</v>
      </c>
      <c r="O40">
        <v>3.85</v>
      </c>
      <c r="P40">
        <v>2.57</v>
      </c>
      <c r="Q40">
        <v>2.0005999999999999</v>
      </c>
      <c r="R40">
        <v>16.128</v>
      </c>
      <c r="S40">
        <v>9.6600000000000005E-2</v>
      </c>
      <c r="T40">
        <v>4.1609999999999996</v>
      </c>
      <c r="U40">
        <v>9</v>
      </c>
      <c r="V40" s="78">
        <v>93.174922499999994</v>
      </c>
    </row>
    <row r="41" spans="1:22" x14ac:dyDescent="0.25">
      <c r="A41" t="s">
        <v>6</v>
      </c>
      <c r="B41">
        <v>6.3086111100000002</v>
      </c>
      <c r="C41">
        <v>3.3841670000000001</v>
      </c>
      <c r="D41" s="72">
        <v>43721</v>
      </c>
      <c r="E41" t="s">
        <v>3</v>
      </c>
      <c r="F41">
        <v>25</v>
      </c>
      <c r="G41">
        <v>30.2</v>
      </c>
      <c r="H41">
        <v>32.6</v>
      </c>
      <c r="I41">
        <v>1884.1</v>
      </c>
      <c r="J41">
        <v>2167.9</v>
      </c>
      <c r="K41">
        <v>7.9889999999999999</v>
      </c>
      <c r="L41">
        <v>442.3</v>
      </c>
      <c r="M41">
        <v>1672.1</v>
      </c>
      <c r="N41">
        <v>200.8</v>
      </c>
      <c r="O41">
        <v>4.9800000000000004</v>
      </c>
      <c r="P41">
        <v>3.32</v>
      </c>
      <c r="Q41">
        <v>1.6847000000000001</v>
      </c>
      <c r="R41">
        <v>10.967000000000001</v>
      </c>
      <c r="S41">
        <v>9.7799999999999998E-2</v>
      </c>
      <c r="T41">
        <v>4.492</v>
      </c>
      <c r="U41">
        <v>5.4</v>
      </c>
      <c r="V41" s="78">
        <v>93.174922499999994</v>
      </c>
    </row>
    <row r="42" spans="1:22" x14ac:dyDescent="0.25">
      <c r="A42" t="s">
        <v>6</v>
      </c>
      <c r="B42">
        <v>6.3086111100000002</v>
      </c>
      <c r="C42">
        <v>3.3841670000000001</v>
      </c>
      <c r="D42" s="72">
        <v>43721</v>
      </c>
      <c r="E42" t="s">
        <v>3</v>
      </c>
      <c r="F42">
        <v>35</v>
      </c>
      <c r="G42">
        <v>27.7</v>
      </c>
      <c r="H42">
        <v>31.7</v>
      </c>
      <c r="I42">
        <v>2030.9</v>
      </c>
      <c r="J42">
        <v>2216</v>
      </c>
      <c r="K42">
        <v>7.82</v>
      </c>
      <c r="L42">
        <v>725.5</v>
      </c>
      <c r="M42">
        <v>1874.8</v>
      </c>
      <c r="N42">
        <v>136.5</v>
      </c>
      <c r="O42">
        <v>3.39</v>
      </c>
      <c r="P42">
        <v>2.2400000000000002</v>
      </c>
      <c r="Q42">
        <v>7.476</v>
      </c>
      <c r="R42">
        <v>17.902000000000001</v>
      </c>
      <c r="S42">
        <v>4.7E-2</v>
      </c>
      <c r="T42">
        <v>5.4930000000000003</v>
      </c>
      <c r="U42">
        <v>2.4</v>
      </c>
      <c r="V42" s="78">
        <v>93.174922499999994</v>
      </c>
    </row>
    <row r="43" spans="1:22" x14ac:dyDescent="0.25">
      <c r="A43" t="s">
        <v>6</v>
      </c>
      <c r="B43">
        <v>6.3086111100000002</v>
      </c>
      <c r="C43">
        <v>3.3841670000000001</v>
      </c>
      <c r="D43" s="72">
        <v>43749</v>
      </c>
      <c r="E43" t="s">
        <v>4</v>
      </c>
      <c r="F43">
        <v>5</v>
      </c>
      <c r="G43">
        <v>26.8</v>
      </c>
      <c r="H43">
        <v>34</v>
      </c>
      <c r="I43">
        <v>2124.8000000000002</v>
      </c>
      <c r="J43">
        <v>2359.1</v>
      </c>
      <c r="K43">
        <v>7.8840000000000003</v>
      </c>
      <c r="L43">
        <v>636.79999999999995</v>
      </c>
      <c r="M43">
        <v>1939.6</v>
      </c>
      <c r="N43">
        <v>167.9</v>
      </c>
      <c r="O43">
        <v>4.07</v>
      </c>
      <c r="P43">
        <v>2.7</v>
      </c>
      <c r="Q43">
        <v>9.7919999999999998</v>
      </c>
      <c r="R43">
        <v>21.289000000000001</v>
      </c>
      <c r="S43">
        <v>6.0999999999999999E-2</v>
      </c>
      <c r="T43">
        <v>2.1640000000000001</v>
      </c>
      <c r="U43">
        <v>2.17</v>
      </c>
      <c r="V43" s="78">
        <v>171.94303930000001</v>
      </c>
    </row>
    <row r="44" spans="1:22" x14ac:dyDescent="0.25">
      <c r="A44" t="s">
        <v>6</v>
      </c>
      <c r="B44">
        <v>6.3086111100000002</v>
      </c>
      <c r="C44">
        <v>3.3841670000000001</v>
      </c>
      <c r="D44" s="72">
        <v>43770</v>
      </c>
      <c r="E44" t="s">
        <v>4</v>
      </c>
      <c r="F44">
        <v>5</v>
      </c>
      <c r="G44">
        <v>26.7</v>
      </c>
      <c r="H44">
        <v>35.9</v>
      </c>
      <c r="I44">
        <v>2131.4</v>
      </c>
      <c r="J44">
        <v>2350</v>
      </c>
      <c r="K44">
        <v>7.835</v>
      </c>
      <c r="L44">
        <v>712.9</v>
      </c>
      <c r="M44">
        <v>1954.6</v>
      </c>
      <c r="N44">
        <v>157.5</v>
      </c>
      <c r="O44">
        <v>3.76</v>
      </c>
      <c r="P44">
        <v>2.5</v>
      </c>
      <c r="Q44">
        <v>8.4239999999999995</v>
      </c>
      <c r="R44">
        <v>20.321000000000002</v>
      </c>
      <c r="S44">
        <v>4.4999999999999998E-2</v>
      </c>
      <c r="T44">
        <v>3.3290000000000002</v>
      </c>
      <c r="U44">
        <v>2.41</v>
      </c>
      <c r="V44" s="78">
        <v>81.195165279999998</v>
      </c>
    </row>
    <row r="45" spans="1:22" x14ac:dyDescent="0.25">
      <c r="A45" t="s">
        <v>6</v>
      </c>
      <c r="B45">
        <v>6.3086111100000002</v>
      </c>
      <c r="C45">
        <v>3.3841670000000001</v>
      </c>
      <c r="D45" s="72">
        <v>43770</v>
      </c>
      <c r="E45" t="s">
        <v>4</v>
      </c>
      <c r="F45">
        <v>25</v>
      </c>
      <c r="G45">
        <v>25.3</v>
      </c>
      <c r="H45">
        <v>34.799999999999997</v>
      </c>
      <c r="I45">
        <v>2245.5</v>
      </c>
      <c r="J45">
        <v>2424.3000000000002</v>
      </c>
      <c r="K45">
        <v>7.7729999999999997</v>
      </c>
      <c r="L45">
        <v>872.6</v>
      </c>
      <c r="M45">
        <v>2085.6999999999998</v>
      </c>
      <c r="N45">
        <v>135.19999999999999</v>
      </c>
      <c r="O45">
        <v>3.25</v>
      </c>
      <c r="P45">
        <v>2.14</v>
      </c>
      <c r="Q45">
        <v>9.3710000000000004</v>
      </c>
      <c r="R45">
        <v>22.74</v>
      </c>
      <c r="S45">
        <v>9.4E-2</v>
      </c>
      <c r="T45">
        <v>6.3250000000000002</v>
      </c>
      <c r="U45">
        <v>2.4300000000000002</v>
      </c>
      <c r="V45" s="78">
        <v>81.195165279999998</v>
      </c>
    </row>
    <row r="46" spans="1:22" x14ac:dyDescent="0.25">
      <c r="A46" t="s">
        <v>6</v>
      </c>
      <c r="B46">
        <v>6.3086111100000002</v>
      </c>
      <c r="C46">
        <v>3.3841670000000001</v>
      </c>
      <c r="D46" s="72">
        <v>43847</v>
      </c>
      <c r="E46" t="s">
        <v>4</v>
      </c>
      <c r="F46">
        <v>5</v>
      </c>
      <c r="G46">
        <v>22.9</v>
      </c>
      <c r="H46">
        <v>34.6</v>
      </c>
      <c r="I46">
        <v>2179.9</v>
      </c>
      <c r="J46">
        <v>2318.6999999999998</v>
      </c>
      <c r="K46">
        <v>7.7439999999999998</v>
      </c>
      <c r="L46">
        <v>898.1</v>
      </c>
      <c r="M46">
        <v>2039.9</v>
      </c>
      <c r="N46">
        <v>113.1</v>
      </c>
      <c r="O46">
        <v>2.7</v>
      </c>
      <c r="P46">
        <v>1.77</v>
      </c>
      <c r="Q46">
        <v>1.6847000000000001</v>
      </c>
      <c r="R46">
        <v>17.579000000000001</v>
      </c>
      <c r="S46">
        <v>7.008</v>
      </c>
      <c r="T46">
        <v>1.6639999999999999</v>
      </c>
      <c r="U46">
        <v>6.8</v>
      </c>
      <c r="V46" s="78">
        <v>245.27466319999999</v>
      </c>
    </row>
    <row r="47" spans="1:22" x14ac:dyDescent="0.25">
      <c r="A47" t="s">
        <v>6</v>
      </c>
      <c r="B47">
        <v>6.3086111100000002</v>
      </c>
      <c r="C47">
        <v>3.3841670000000001</v>
      </c>
      <c r="D47" s="72">
        <v>43847</v>
      </c>
      <c r="E47" t="s">
        <v>4</v>
      </c>
      <c r="F47">
        <v>25</v>
      </c>
      <c r="G47">
        <v>28.2</v>
      </c>
      <c r="H47">
        <v>33.5</v>
      </c>
      <c r="I47">
        <v>2040.6</v>
      </c>
      <c r="J47">
        <v>2190.1999999999998</v>
      </c>
      <c r="K47">
        <v>7.7279999999999998</v>
      </c>
      <c r="L47">
        <v>903.2</v>
      </c>
      <c r="M47">
        <v>1897.9</v>
      </c>
      <c r="N47">
        <v>118.9</v>
      </c>
      <c r="O47">
        <v>2.92</v>
      </c>
      <c r="P47">
        <v>1.94</v>
      </c>
      <c r="Q47">
        <v>0.1053</v>
      </c>
      <c r="R47">
        <v>4.1929999999999996</v>
      </c>
      <c r="S47">
        <v>5.0787000000000004</v>
      </c>
      <c r="T47">
        <v>6.4909999999999997</v>
      </c>
      <c r="U47">
        <v>13.1</v>
      </c>
      <c r="V47" s="78">
        <v>245.27466319999999</v>
      </c>
    </row>
    <row r="48" spans="1:22" x14ac:dyDescent="0.25">
      <c r="A48" t="s">
        <v>6</v>
      </c>
      <c r="B48">
        <v>6.3086111100000002</v>
      </c>
      <c r="C48">
        <v>3.3841670000000001</v>
      </c>
      <c r="D48" s="72">
        <v>43847</v>
      </c>
      <c r="E48" t="s">
        <v>4</v>
      </c>
      <c r="F48">
        <v>35</v>
      </c>
      <c r="G48">
        <v>26.2</v>
      </c>
      <c r="H48">
        <v>35.6</v>
      </c>
      <c r="I48">
        <v>2144.3000000000002</v>
      </c>
      <c r="J48">
        <v>2346.8000000000002</v>
      </c>
      <c r="K48">
        <v>7.8310000000000004</v>
      </c>
      <c r="L48">
        <v>724.5</v>
      </c>
      <c r="M48">
        <v>1971</v>
      </c>
      <c r="N48">
        <v>153.5</v>
      </c>
      <c r="O48">
        <v>3.67</v>
      </c>
      <c r="P48">
        <v>2.4300000000000002</v>
      </c>
      <c r="Q48">
        <v>9.4799999999999995E-2</v>
      </c>
      <c r="R48">
        <v>5.806</v>
      </c>
      <c r="S48">
        <v>2.9016000000000002</v>
      </c>
      <c r="T48">
        <v>3.1619999999999999</v>
      </c>
      <c r="U48">
        <v>17.600000000000001</v>
      </c>
      <c r="V48" s="78">
        <v>245.27466319999999</v>
      </c>
    </row>
    <row r="49" spans="1:22" x14ac:dyDescent="0.25">
      <c r="A49" t="s">
        <v>6</v>
      </c>
      <c r="B49">
        <v>6.3086111100000002</v>
      </c>
      <c r="C49">
        <v>3.3841670000000001</v>
      </c>
      <c r="D49" s="72">
        <v>43896</v>
      </c>
      <c r="E49" t="s">
        <v>4</v>
      </c>
      <c r="F49">
        <v>5</v>
      </c>
      <c r="G49">
        <v>23.7</v>
      </c>
      <c r="H49">
        <v>35.5</v>
      </c>
      <c r="I49">
        <v>2066.5</v>
      </c>
      <c r="J49">
        <v>2289.9</v>
      </c>
      <c r="K49">
        <v>7.915</v>
      </c>
      <c r="L49">
        <v>563.29999999999995</v>
      </c>
      <c r="M49">
        <v>1887.5</v>
      </c>
      <c r="N49">
        <v>162.69999999999999</v>
      </c>
      <c r="O49">
        <v>3.87</v>
      </c>
      <c r="P49">
        <v>2.5499999999999998</v>
      </c>
      <c r="Q49">
        <v>1.3688</v>
      </c>
      <c r="R49">
        <v>16.611999999999998</v>
      </c>
      <c r="S49">
        <v>7.2557999999999998</v>
      </c>
      <c r="T49">
        <v>5.16</v>
      </c>
      <c r="U49">
        <v>6.6</v>
      </c>
      <c r="V49" s="78">
        <v>488.8852875</v>
      </c>
    </row>
    <row r="50" spans="1:22" x14ac:dyDescent="0.25">
      <c r="A50" t="s">
        <v>6</v>
      </c>
      <c r="B50">
        <v>6.3086111100000002</v>
      </c>
      <c r="C50">
        <v>3.3841670000000001</v>
      </c>
      <c r="D50" s="72">
        <v>43896</v>
      </c>
      <c r="E50" t="s">
        <v>4</v>
      </c>
      <c r="F50">
        <v>25</v>
      </c>
      <c r="G50">
        <v>28.6</v>
      </c>
      <c r="H50">
        <v>32.700000000000003</v>
      </c>
      <c r="I50">
        <v>1931.3</v>
      </c>
      <c r="J50">
        <v>2221.6999999999998</v>
      </c>
      <c r="K50">
        <v>8.0169999999999995</v>
      </c>
      <c r="L50">
        <v>420.8</v>
      </c>
      <c r="M50">
        <v>1712.4</v>
      </c>
      <c r="N50">
        <v>207.8</v>
      </c>
      <c r="O50">
        <v>5.14</v>
      </c>
      <c r="P50">
        <v>3.41</v>
      </c>
      <c r="Q50">
        <v>8.4199999999999997E-2</v>
      </c>
      <c r="R50">
        <v>8.7089999999999996</v>
      </c>
      <c r="S50">
        <v>0.23699999999999999</v>
      </c>
      <c r="T50">
        <v>5.6589999999999998</v>
      </c>
      <c r="U50">
        <v>20.3</v>
      </c>
      <c r="V50" s="78">
        <v>488.8852875</v>
      </c>
    </row>
    <row r="51" spans="1:22" x14ac:dyDescent="0.25">
      <c r="A51" t="s">
        <v>6</v>
      </c>
      <c r="B51">
        <v>6.3622222199999996</v>
      </c>
      <c r="C51">
        <v>3.3975</v>
      </c>
      <c r="D51" s="72">
        <v>44119</v>
      </c>
      <c r="E51" t="s">
        <v>3</v>
      </c>
      <c r="F51">
        <v>25</v>
      </c>
      <c r="G51">
        <v>28.5</v>
      </c>
      <c r="H51">
        <v>30.4</v>
      </c>
      <c r="I51">
        <v>1869.2</v>
      </c>
      <c r="J51">
        <v>2118.3000000000002</v>
      </c>
      <c r="K51">
        <v>7.9889999999999999</v>
      </c>
      <c r="L51">
        <v>444.9</v>
      </c>
      <c r="M51">
        <v>1677.8</v>
      </c>
      <c r="N51">
        <v>179.5</v>
      </c>
      <c r="O51">
        <v>4.5199999999999996</v>
      </c>
      <c r="P51">
        <v>2.98</v>
      </c>
      <c r="Q51">
        <v>0.73699999999999999</v>
      </c>
      <c r="R51">
        <v>22.417999999999999</v>
      </c>
      <c r="S51">
        <v>0.44600000000000001</v>
      </c>
      <c r="T51">
        <v>8.1560000000000006</v>
      </c>
      <c r="U51">
        <v>2.8</v>
      </c>
      <c r="V51" s="78">
        <v>18.601987640000001</v>
      </c>
    </row>
    <row r="52" spans="1:22" x14ac:dyDescent="0.25">
      <c r="A52" t="s">
        <v>6</v>
      </c>
      <c r="B52">
        <v>6.3086111100000002</v>
      </c>
      <c r="C52">
        <v>3.3841670000000001</v>
      </c>
      <c r="D52" s="72">
        <v>44154</v>
      </c>
      <c r="E52" t="s">
        <v>3</v>
      </c>
      <c r="F52">
        <v>5</v>
      </c>
      <c r="G52">
        <v>25.5</v>
      </c>
      <c r="H52">
        <v>34.299999999999997</v>
      </c>
      <c r="I52">
        <v>2136.4</v>
      </c>
      <c r="J52">
        <v>2360.6999999999998</v>
      </c>
      <c r="K52">
        <v>7.8940000000000001</v>
      </c>
      <c r="L52">
        <v>620.1</v>
      </c>
      <c r="M52">
        <v>1952.5</v>
      </c>
      <c r="N52">
        <v>166.4</v>
      </c>
      <c r="O52">
        <v>4</v>
      </c>
      <c r="P52">
        <v>2.64</v>
      </c>
      <c r="Q52">
        <v>0.316</v>
      </c>
      <c r="R52">
        <v>29.675000000000001</v>
      </c>
      <c r="S52">
        <v>0.61</v>
      </c>
      <c r="T52">
        <v>71.569000000000003</v>
      </c>
      <c r="U52">
        <v>4.7</v>
      </c>
      <c r="V52" s="78">
        <v>10.26956356</v>
      </c>
    </row>
    <row r="53" spans="1:22" x14ac:dyDescent="0.25">
      <c r="A53" t="s">
        <v>6</v>
      </c>
      <c r="B53">
        <v>6.3086111100000002</v>
      </c>
      <c r="C53">
        <v>3.3841670000000001</v>
      </c>
      <c r="D53" s="72">
        <v>44154</v>
      </c>
      <c r="E53" t="s">
        <v>3</v>
      </c>
      <c r="F53">
        <v>25</v>
      </c>
      <c r="G53">
        <v>28.5</v>
      </c>
      <c r="H53">
        <v>30.8</v>
      </c>
      <c r="I53">
        <v>1867.2</v>
      </c>
      <c r="J53">
        <v>2114.6</v>
      </c>
      <c r="K53">
        <v>7.98</v>
      </c>
      <c r="L53">
        <v>453.8</v>
      </c>
      <c r="M53">
        <v>1677.8</v>
      </c>
      <c r="N53">
        <v>177.4</v>
      </c>
      <c r="O53">
        <v>4.45</v>
      </c>
      <c r="P53">
        <v>2.94</v>
      </c>
      <c r="Q53">
        <v>0.23200000000000001</v>
      </c>
      <c r="R53">
        <v>20.321000000000002</v>
      </c>
      <c r="S53">
        <v>0.42199999999999999</v>
      </c>
      <c r="T53">
        <v>36.616999999999997</v>
      </c>
      <c r="U53">
        <v>4</v>
      </c>
      <c r="V53" s="78">
        <v>10.26956356</v>
      </c>
    </row>
    <row r="54" spans="1:22" x14ac:dyDescent="0.25">
      <c r="A54" t="s">
        <v>6</v>
      </c>
      <c r="B54">
        <v>6.3086111100000002</v>
      </c>
      <c r="C54">
        <v>3.3841670000000001</v>
      </c>
      <c r="D54" s="72">
        <v>44187</v>
      </c>
      <c r="E54" t="s">
        <v>3</v>
      </c>
      <c r="F54">
        <v>5</v>
      </c>
      <c r="G54">
        <v>27.1</v>
      </c>
      <c r="H54">
        <v>35</v>
      </c>
      <c r="I54">
        <v>1970.3</v>
      </c>
      <c r="J54">
        <v>2195.1</v>
      </c>
      <c r="K54">
        <v>7.8890000000000002</v>
      </c>
      <c r="L54">
        <v>580.1</v>
      </c>
      <c r="M54">
        <v>1792.2</v>
      </c>
      <c r="N54">
        <v>162.5</v>
      </c>
      <c r="O54">
        <v>3.91</v>
      </c>
      <c r="P54">
        <v>2.59</v>
      </c>
      <c r="Q54">
        <v>0.253</v>
      </c>
      <c r="R54">
        <v>27.256</v>
      </c>
      <c r="S54">
        <v>0.35199999999999998</v>
      </c>
      <c r="T54">
        <v>14.98</v>
      </c>
      <c r="U54">
        <v>5.4</v>
      </c>
      <c r="V54" s="78">
        <v>106.2234368</v>
      </c>
    </row>
    <row r="55" spans="1:22" x14ac:dyDescent="0.25">
      <c r="A55" t="s">
        <v>6</v>
      </c>
      <c r="B55">
        <v>6.3086111100000002</v>
      </c>
      <c r="C55">
        <v>3.3841670000000001</v>
      </c>
      <c r="D55" s="72">
        <v>44187</v>
      </c>
      <c r="E55" t="s">
        <v>3</v>
      </c>
      <c r="F55">
        <v>25</v>
      </c>
      <c r="G55">
        <v>28.4</v>
      </c>
      <c r="H55">
        <v>31.9</v>
      </c>
      <c r="I55">
        <v>2058.6999999999998</v>
      </c>
      <c r="J55">
        <v>2317.6999999999998</v>
      </c>
      <c r="K55">
        <v>7.9589999999999996</v>
      </c>
      <c r="L55">
        <v>522.20000000000005</v>
      </c>
      <c r="M55">
        <v>1853.4</v>
      </c>
      <c r="N55">
        <v>191.5</v>
      </c>
      <c r="O55">
        <v>4.76</v>
      </c>
      <c r="P55">
        <v>3.15</v>
      </c>
      <c r="Q55">
        <v>0.23200000000000001</v>
      </c>
      <c r="R55">
        <v>96.927999999999997</v>
      </c>
      <c r="S55">
        <v>0.23499999999999999</v>
      </c>
      <c r="T55">
        <v>8.4879999999999995</v>
      </c>
      <c r="U55">
        <v>18</v>
      </c>
      <c r="V55" s="78">
        <v>106.2234368</v>
      </c>
    </row>
    <row r="56" spans="1:22" x14ac:dyDescent="0.25">
      <c r="A56" t="s">
        <v>6</v>
      </c>
      <c r="B56">
        <v>6.3086111100000002</v>
      </c>
      <c r="C56">
        <v>3.3841670000000001</v>
      </c>
      <c r="D56" s="72">
        <v>44187</v>
      </c>
      <c r="E56" t="s">
        <v>3</v>
      </c>
      <c r="F56">
        <v>35</v>
      </c>
      <c r="G56">
        <v>28.2</v>
      </c>
      <c r="H56">
        <v>32.9</v>
      </c>
      <c r="I56">
        <v>1983.6</v>
      </c>
      <c r="J56">
        <v>2251.1</v>
      </c>
      <c r="K56">
        <v>7.9740000000000002</v>
      </c>
      <c r="L56">
        <v>480.1</v>
      </c>
      <c r="M56">
        <v>1777.1</v>
      </c>
      <c r="N56">
        <v>193.8</v>
      </c>
      <c r="O56">
        <v>4.7699999999999996</v>
      </c>
      <c r="P56">
        <v>3.16</v>
      </c>
      <c r="Q56">
        <v>0.2</v>
      </c>
      <c r="R56">
        <v>23.062999999999999</v>
      </c>
      <c r="S56">
        <v>0.11700000000000001</v>
      </c>
      <c r="T56">
        <v>5.3259999999999996</v>
      </c>
      <c r="U56">
        <v>5</v>
      </c>
      <c r="V56" s="78">
        <v>106.2234368</v>
      </c>
    </row>
    <row r="57" spans="1:22" x14ac:dyDescent="0.25">
      <c r="A57" t="s">
        <v>6</v>
      </c>
      <c r="B57">
        <v>6.3086111100000002</v>
      </c>
      <c r="C57">
        <v>3.3841670000000001</v>
      </c>
      <c r="D57" s="72">
        <v>44215</v>
      </c>
      <c r="E57" t="s">
        <v>4</v>
      </c>
      <c r="F57">
        <v>5</v>
      </c>
      <c r="G57">
        <v>30.2</v>
      </c>
      <c r="H57">
        <v>32.9</v>
      </c>
      <c r="I57">
        <v>1818.8</v>
      </c>
      <c r="J57">
        <v>2116.1999999999998</v>
      </c>
      <c r="K57">
        <v>8.02</v>
      </c>
      <c r="L57">
        <v>393.9</v>
      </c>
      <c r="M57">
        <v>1600.9</v>
      </c>
      <c r="N57">
        <v>207.9</v>
      </c>
      <c r="O57">
        <v>5.15</v>
      </c>
      <c r="P57">
        <v>3.44</v>
      </c>
      <c r="Q57">
        <v>0.63100000000000001</v>
      </c>
      <c r="R57">
        <v>14.354100000000001</v>
      </c>
      <c r="S57">
        <v>9.4200000000000006E-2</v>
      </c>
      <c r="T57">
        <v>1.165</v>
      </c>
      <c r="U57">
        <v>8.8000000000000007</v>
      </c>
      <c r="V57" s="78">
        <v>91.222036799999998</v>
      </c>
    </row>
    <row r="58" spans="1:22" x14ac:dyDescent="0.25">
      <c r="A58" t="s">
        <v>6</v>
      </c>
      <c r="B58">
        <v>6.3086111100000002</v>
      </c>
      <c r="C58">
        <v>3.3841670000000001</v>
      </c>
      <c r="D58" s="72">
        <v>44215</v>
      </c>
      <c r="E58" t="s">
        <v>4</v>
      </c>
      <c r="F58">
        <v>25</v>
      </c>
      <c r="G58">
        <v>30</v>
      </c>
      <c r="H58">
        <v>33.4</v>
      </c>
      <c r="I58">
        <v>1881.3</v>
      </c>
      <c r="J58">
        <v>2194.6</v>
      </c>
      <c r="K58">
        <v>8.0289999999999999</v>
      </c>
      <c r="L58">
        <v>396.1</v>
      </c>
      <c r="M58">
        <v>1651.1</v>
      </c>
      <c r="N58">
        <v>220.3</v>
      </c>
      <c r="O58">
        <v>5.41</v>
      </c>
      <c r="P58">
        <v>3.62</v>
      </c>
      <c r="Q58">
        <v>0.98980000000000001</v>
      </c>
      <c r="R58">
        <v>15.805099999999999</v>
      </c>
      <c r="S58">
        <v>9.4E-2</v>
      </c>
      <c r="T58">
        <v>0.68799999999999994</v>
      </c>
      <c r="U58">
        <v>8.1</v>
      </c>
      <c r="V58" s="78">
        <v>91.222036799999998</v>
      </c>
    </row>
    <row r="59" spans="1:22" x14ac:dyDescent="0.25">
      <c r="A59" t="s">
        <v>6</v>
      </c>
      <c r="B59">
        <v>6.3086111100000002</v>
      </c>
      <c r="C59">
        <v>3.3841670000000001</v>
      </c>
      <c r="D59" s="72">
        <v>44215</v>
      </c>
      <c r="E59" t="s">
        <v>4</v>
      </c>
      <c r="F59">
        <v>35</v>
      </c>
      <c r="G59">
        <v>24</v>
      </c>
      <c r="H59">
        <v>35.1</v>
      </c>
      <c r="I59">
        <v>2118.6999999999998</v>
      </c>
      <c r="J59">
        <v>2317.3000000000002</v>
      </c>
      <c r="K59">
        <v>7.8620000000000001</v>
      </c>
      <c r="L59">
        <v>658.7</v>
      </c>
      <c r="M59">
        <v>1950.5</v>
      </c>
      <c r="N59">
        <v>149.19999999999999</v>
      </c>
      <c r="O59">
        <v>3.56</v>
      </c>
      <c r="P59">
        <v>2.34</v>
      </c>
      <c r="Q59">
        <v>0.73709999999999998</v>
      </c>
      <c r="R59">
        <v>22.094999999999999</v>
      </c>
      <c r="S59">
        <v>0.17799999999999999</v>
      </c>
      <c r="T59">
        <v>1.661</v>
      </c>
      <c r="U59">
        <v>10.6</v>
      </c>
      <c r="V59" s="78">
        <v>91.222036799999998</v>
      </c>
    </row>
    <row r="60" spans="1:22" x14ac:dyDescent="0.25">
      <c r="A60" t="s">
        <v>6</v>
      </c>
      <c r="B60">
        <v>6.3086111100000002</v>
      </c>
      <c r="C60">
        <v>3.3841670000000001</v>
      </c>
      <c r="D60" s="72">
        <v>44293</v>
      </c>
      <c r="E60" t="s">
        <v>3</v>
      </c>
      <c r="F60">
        <v>25</v>
      </c>
      <c r="G60">
        <v>27</v>
      </c>
      <c r="H60">
        <v>35.5</v>
      </c>
      <c r="I60">
        <v>1945.2</v>
      </c>
      <c r="J60">
        <v>2226.6999999999998</v>
      </c>
      <c r="K60">
        <v>7.9859999999999998</v>
      </c>
      <c r="L60">
        <v>448.7</v>
      </c>
      <c r="M60">
        <v>1735</v>
      </c>
      <c r="N60">
        <v>198.1</v>
      </c>
      <c r="O60">
        <v>4.75</v>
      </c>
      <c r="P60">
        <v>3.15</v>
      </c>
      <c r="Q60">
        <v>1.1157999999999999</v>
      </c>
      <c r="R60">
        <v>62.898000000000003</v>
      </c>
      <c r="S60">
        <v>9.01E-2</v>
      </c>
      <c r="T60">
        <v>2.996</v>
      </c>
      <c r="U60">
        <v>15.8</v>
      </c>
      <c r="V60" s="78">
        <v>0.45746135700000001</v>
      </c>
    </row>
    <row r="61" spans="1:22" x14ac:dyDescent="0.25">
      <c r="A61" t="s">
        <v>6</v>
      </c>
      <c r="B61">
        <v>6.3086111100000002</v>
      </c>
      <c r="C61">
        <v>3.3841670000000001</v>
      </c>
      <c r="D61" s="72">
        <v>44293</v>
      </c>
      <c r="E61" t="s">
        <v>3</v>
      </c>
      <c r="F61">
        <v>35</v>
      </c>
      <c r="G61">
        <v>30.4</v>
      </c>
      <c r="H61">
        <v>34</v>
      </c>
      <c r="I61">
        <v>2082.6999999999998</v>
      </c>
      <c r="J61">
        <v>2312.5</v>
      </c>
      <c r="K61">
        <v>7.8449999999999998</v>
      </c>
      <c r="L61">
        <v>693.4</v>
      </c>
      <c r="M61">
        <v>1895</v>
      </c>
      <c r="N61">
        <v>170.4</v>
      </c>
      <c r="O61">
        <v>4.16</v>
      </c>
      <c r="P61">
        <v>2.79</v>
      </c>
      <c r="Q61">
        <v>1.8953</v>
      </c>
      <c r="R61">
        <v>10.483000000000001</v>
      </c>
      <c r="S61">
        <v>9.5000000000000001E-2</v>
      </c>
      <c r="T61">
        <v>1.6639999999999999</v>
      </c>
      <c r="U61">
        <v>5.9</v>
      </c>
      <c r="V61" s="78">
        <v>0.45746135700000001</v>
      </c>
    </row>
    <row r="62" spans="1:22" x14ac:dyDescent="0.25">
      <c r="A62" t="s">
        <v>7</v>
      </c>
      <c r="B62">
        <v>6.3622222199999996</v>
      </c>
      <c r="C62">
        <v>3.3975</v>
      </c>
      <c r="D62" s="72">
        <v>43517</v>
      </c>
      <c r="E62" t="s">
        <v>3</v>
      </c>
      <c r="F62">
        <v>5</v>
      </c>
      <c r="G62">
        <v>29.3</v>
      </c>
      <c r="H62">
        <v>28</v>
      </c>
      <c r="I62">
        <v>1720</v>
      </c>
      <c r="J62">
        <v>1931.4</v>
      </c>
      <c r="K62">
        <v>7.9619999999999997</v>
      </c>
      <c r="L62">
        <v>448</v>
      </c>
      <c r="M62">
        <v>1556.9</v>
      </c>
      <c r="N62">
        <v>151.19999999999999</v>
      </c>
      <c r="O62">
        <v>3.9</v>
      </c>
      <c r="P62">
        <v>2.5499999999999998</v>
      </c>
      <c r="Q62">
        <v>1.0529999999999999</v>
      </c>
      <c r="R62">
        <v>16.773</v>
      </c>
      <c r="S62">
        <v>0.70399999999999996</v>
      </c>
      <c r="T62">
        <v>20.472000000000001</v>
      </c>
      <c r="U62">
        <v>13.9</v>
      </c>
      <c r="V62" s="78">
        <v>100.63296099999999</v>
      </c>
    </row>
    <row r="63" spans="1:22" x14ac:dyDescent="0.25">
      <c r="A63" t="s">
        <v>7</v>
      </c>
      <c r="B63">
        <v>6.3622222199999996</v>
      </c>
      <c r="C63">
        <v>3.3975</v>
      </c>
      <c r="D63" s="72">
        <v>43517</v>
      </c>
      <c r="E63" t="s">
        <v>3</v>
      </c>
      <c r="F63">
        <v>15</v>
      </c>
      <c r="G63">
        <v>28.3</v>
      </c>
      <c r="H63">
        <v>34.200000000000003</v>
      </c>
      <c r="I63">
        <v>2045.8</v>
      </c>
      <c r="J63">
        <v>2308.6999999999998</v>
      </c>
      <c r="K63">
        <v>7.9370000000000003</v>
      </c>
      <c r="L63">
        <v>538.9</v>
      </c>
      <c r="M63">
        <v>1840.8</v>
      </c>
      <c r="N63">
        <v>190.8</v>
      </c>
      <c r="O63">
        <v>4.6399999999999997</v>
      </c>
      <c r="P63">
        <v>3.09</v>
      </c>
      <c r="Q63">
        <v>1.1579999999999999</v>
      </c>
      <c r="R63">
        <v>29.352</v>
      </c>
      <c r="S63">
        <v>0.93899999999999995</v>
      </c>
      <c r="T63">
        <v>8.1560000000000006</v>
      </c>
      <c r="U63">
        <v>21.4</v>
      </c>
      <c r="V63" s="78">
        <v>100.63296099999999</v>
      </c>
    </row>
    <row r="64" spans="1:22" x14ac:dyDescent="0.25">
      <c r="A64" t="s">
        <v>7</v>
      </c>
      <c r="B64">
        <v>6.3622222199999996</v>
      </c>
      <c r="C64">
        <v>3.3975</v>
      </c>
      <c r="D64" s="72">
        <v>43560</v>
      </c>
      <c r="E64" t="s">
        <v>3</v>
      </c>
      <c r="F64">
        <v>5</v>
      </c>
      <c r="G64">
        <v>31.4</v>
      </c>
      <c r="H64">
        <v>34.799999999999997</v>
      </c>
      <c r="I64">
        <v>2201.8000000000002</v>
      </c>
      <c r="J64">
        <v>2375.6999999999998</v>
      </c>
      <c r="K64">
        <v>7.8310000000000004</v>
      </c>
      <c r="L64">
        <v>733.3</v>
      </c>
      <c r="M64">
        <v>2045.4</v>
      </c>
      <c r="N64">
        <v>133.9</v>
      </c>
      <c r="O64">
        <v>3.19</v>
      </c>
      <c r="P64">
        <v>2.08</v>
      </c>
      <c r="Q64">
        <v>2.738</v>
      </c>
      <c r="R64">
        <v>31.449000000000002</v>
      </c>
      <c r="S64">
        <v>1.1739999999999999</v>
      </c>
      <c r="T64">
        <v>6.1580000000000004</v>
      </c>
      <c r="U64">
        <v>9.6999999999999993</v>
      </c>
      <c r="V64" s="78">
        <v>156.32718320000001</v>
      </c>
    </row>
    <row r="65" spans="1:22" x14ac:dyDescent="0.25">
      <c r="A65" t="s">
        <v>7</v>
      </c>
      <c r="B65">
        <v>6.3622222199999996</v>
      </c>
      <c r="C65">
        <v>3.3975</v>
      </c>
      <c r="D65" s="72">
        <v>43560</v>
      </c>
      <c r="E65" t="s">
        <v>3</v>
      </c>
      <c r="F65">
        <v>15</v>
      </c>
      <c r="G65">
        <v>29.5</v>
      </c>
      <c r="H65">
        <v>28.3</v>
      </c>
      <c r="I65">
        <v>1743.2</v>
      </c>
      <c r="J65">
        <v>1966.8</v>
      </c>
      <c r="K65">
        <v>7.9660000000000002</v>
      </c>
      <c r="L65">
        <v>449.2</v>
      </c>
      <c r="M65">
        <v>1574.9</v>
      </c>
      <c r="N65">
        <v>156.5</v>
      </c>
      <c r="O65">
        <v>4.0199999999999996</v>
      </c>
      <c r="P65">
        <v>2.64</v>
      </c>
      <c r="Q65">
        <v>5.37</v>
      </c>
      <c r="R65">
        <v>17.902000000000001</v>
      </c>
      <c r="S65">
        <v>0.79800000000000004</v>
      </c>
      <c r="T65">
        <v>20.306000000000001</v>
      </c>
      <c r="U65">
        <v>3.3</v>
      </c>
      <c r="V65" s="78">
        <v>156.32718320000001</v>
      </c>
    </row>
    <row r="66" spans="1:22" x14ac:dyDescent="0.25">
      <c r="A66" t="s">
        <v>7</v>
      </c>
      <c r="B66">
        <v>6.3622222199999996</v>
      </c>
      <c r="C66">
        <v>3.3975</v>
      </c>
      <c r="D66" s="72">
        <v>43721</v>
      </c>
      <c r="E66" t="s">
        <v>3</v>
      </c>
      <c r="F66">
        <v>5</v>
      </c>
      <c r="G66">
        <v>28.9</v>
      </c>
      <c r="H66">
        <v>34.5</v>
      </c>
      <c r="I66">
        <v>2016.8</v>
      </c>
      <c r="J66">
        <v>2316.1999999999998</v>
      </c>
      <c r="K66">
        <v>7.9880000000000004</v>
      </c>
      <c r="L66">
        <v>467.1</v>
      </c>
      <c r="M66">
        <v>1790.1</v>
      </c>
      <c r="N66">
        <v>214.6</v>
      </c>
      <c r="O66">
        <v>5.21</v>
      </c>
      <c r="P66">
        <v>3.47</v>
      </c>
      <c r="Q66">
        <v>0.84199999999999997</v>
      </c>
      <c r="R66">
        <v>19.998000000000001</v>
      </c>
      <c r="S66">
        <v>6.9000000000000006E-2</v>
      </c>
      <c r="T66">
        <v>3.1619999999999999</v>
      </c>
      <c r="U66">
        <v>19.100000000000001</v>
      </c>
      <c r="V66" s="78">
        <v>93.174922499999994</v>
      </c>
    </row>
    <row r="67" spans="1:22" x14ac:dyDescent="0.25">
      <c r="A67" t="s">
        <v>7</v>
      </c>
      <c r="B67">
        <v>6.3622222199999996</v>
      </c>
      <c r="C67">
        <v>3.3975</v>
      </c>
      <c r="D67" s="72">
        <v>43721</v>
      </c>
      <c r="E67" t="s">
        <v>3</v>
      </c>
      <c r="F67">
        <v>15</v>
      </c>
      <c r="G67">
        <v>28.8</v>
      </c>
      <c r="H67">
        <v>35.5</v>
      </c>
      <c r="I67">
        <v>2038</v>
      </c>
      <c r="J67">
        <v>2329.3000000000002</v>
      </c>
      <c r="K67">
        <v>7.9610000000000003</v>
      </c>
      <c r="L67">
        <v>502.3</v>
      </c>
      <c r="M67">
        <v>1816.4</v>
      </c>
      <c r="N67">
        <v>208.7</v>
      </c>
      <c r="O67">
        <v>5.01</v>
      </c>
      <c r="P67">
        <v>3.35</v>
      </c>
      <c r="Q67">
        <v>0.94799999999999995</v>
      </c>
      <c r="R67">
        <v>20.16</v>
      </c>
      <c r="S67">
        <v>0.14399999999999999</v>
      </c>
      <c r="T67">
        <v>4.4939999999999998</v>
      </c>
      <c r="U67">
        <v>18.2</v>
      </c>
      <c r="V67" s="78">
        <v>93.174922499999994</v>
      </c>
    </row>
    <row r="68" spans="1:22" x14ac:dyDescent="0.25">
      <c r="A68" t="s">
        <v>7</v>
      </c>
      <c r="B68">
        <v>6.3622222199999996</v>
      </c>
      <c r="C68">
        <v>3.3975</v>
      </c>
      <c r="D68" s="72">
        <v>43749</v>
      </c>
      <c r="E68" t="s">
        <v>4</v>
      </c>
      <c r="F68">
        <v>5</v>
      </c>
      <c r="G68">
        <v>29.5</v>
      </c>
      <c r="H68">
        <v>34.6</v>
      </c>
      <c r="I68">
        <v>1987.3</v>
      </c>
      <c r="J68">
        <v>2276.3000000000002</v>
      </c>
      <c r="K68">
        <v>7.9669999999999996</v>
      </c>
      <c r="L68">
        <v>487.2</v>
      </c>
      <c r="M68">
        <v>1768.6</v>
      </c>
      <c r="N68">
        <v>206.3</v>
      </c>
      <c r="O68">
        <v>5.0199999999999996</v>
      </c>
      <c r="P68">
        <v>3.36</v>
      </c>
      <c r="Q68">
        <v>1.1579999999999999</v>
      </c>
      <c r="R68">
        <v>23.385000000000002</v>
      </c>
      <c r="S68">
        <v>7.0999999999999994E-2</v>
      </c>
      <c r="T68">
        <v>3.4950000000000001</v>
      </c>
      <c r="U68">
        <v>17</v>
      </c>
      <c r="V68" s="78">
        <v>171.94303930000001</v>
      </c>
    </row>
    <row r="69" spans="1:22" x14ac:dyDescent="0.25">
      <c r="A69" t="s">
        <v>7</v>
      </c>
      <c r="B69">
        <v>6.3622222199999996</v>
      </c>
      <c r="C69">
        <v>3.3975</v>
      </c>
      <c r="D69" s="72">
        <v>43770</v>
      </c>
      <c r="E69" t="s">
        <v>4</v>
      </c>
      <c r="F69">
        <v>15</v>
      </c>
      <c r="G69">
        <v>22.5</v>
      </c>
      <c r="H69">
        <v>34.299999999999997</v>
      </c>
      <c r="I69">
        <v>2170.8000000000002</v>
      </c>
      <c r="J69">
        <v>2359.1999999999998</v>
      </c>
      <c r="K69">
        <v>7.8680000000000003</v>
      </c>
      <c r="L69">
        <v>665.7</v>
      </c>
      <c r="M69">
        <v>2006.3</v>
      </c>
      <c r="N69">
        <v>144.30000000000001</v>
      </c>
      <c r="O69">
        <v>3.47</v>
      </c>
      <c r="P69">
        <v>2.27</v>
      </c>
      <c r="Q69">
        <v>0.42099999999999999</v>
      </c>
      <c r="R69">
        <v>9.8379999999999992</v>
      </c>
      <c r="S69">
        <v>6.0999999999999999E-2</v>
      </c>
      <c r="T69">
        <v>7.3230000000000004</v>
      </c>
      <c r="U69">
        <v>13.37</v>
      </c>
      <c r="V69" s="78">
        <v>81.195165279999998</v>
      </c>
    </row>
    <row r="70" spans="1:22" x14ac:dyDescent="0.25">
      <c r="A70" t="s">
        <v>7</v>
      </c>
      <c r="B70">
        <v>6.3622222199999996</v>
      </c>
      <c r="C70">
        <v>3.3975</v>
      </c>
      <c r="D70" s="72">
        <v>43847</v>
      </c>
      <c r="E70" t="s">
        <v>4</v>
      </c>
      <c r="F70">
        <v>5</v>
      </c>
      <c r="G70">
        <v>29.4</v>
      </c>
      <c r="H70">
        <v>34.6</v>
      </c>
      <c r="I70">
        <v>2004.1</v>
      </c>
      <c r="J70">
        <v>2297.1999999999998</v>
      </c>
      <c r="K70">
        <v>7.9710000000000001</v>
      </c>
      <c r="L70">
        <v>485.2</v>
      </c>
      <c r="M70">
        <v>1782.3</v>
      </c>
      <c r="N70">
        <v>209.4</v>
      </c>
      <c r="O70">
        <v>5.09</v>
      </c>
      <c r="P70">
        <v>3.4</v>
      </c>
      <c r="Q70">
        <v>1.369</v>
      </c>
      <c r="R70">
        <v>23.385000000000002</v>
      </c>
      <c r="S70">
        <v>1.0329999999999999</v>
      </c>
      <c r="T70">
        <v>5.4930000000000003</v>
      </c>
      <c r="U70">
        <v>15.1</v>
      </c>
      <c r="V70" s="78">
        <v>245.27466319999999</v>
      </c>
    </row>
    <row r="71" spans="1:22" x14ac:dyDescent="0.25">
      <c r="A71" t="s">
        <v>7</v>
      </c>
      <c r="B71">
        <v>6.3622222199999996</v>
      </c>
      <c r="C71">
        <v>3.3975</v>
      </c>
      <c r="D71" s="72">
        <v>43847</v>
      </c>
      <c r="E71" t="s">
        <v>4</v>
      </c>
      <c r="F71">
        <v>15</v>
      </c>
      <c r="G71">
        <v>28.3</v>
      </c>
      <c r="H71">
        <v>34.9</v>
      </c>
      <c r="I71">
        <v>2072.1999999999998</v>
      </c>
      <c r="J71">
        <v>2327.5</v>
      </c>
      <c r="K71">
        <v>7.9119999999999999</v>
      </c>
      <c r="L71">
        <v>579</v>
      </c>
      <c r="M71">
        <v>1871</v>
      </c>
      <c r="N71">
        <v>186</v>
      </c>
      <c r="O71">
        <v>4.49</v>
      </c>
      <c r="P71">
        <v>2.99</v>
      </c>
      <c r="Q71">
        <v>1.264</v>
      </c>
      <c r="R71">
        <v>24.03</v>
      </c>
      <c r="S71">
        <v>1.2210000000000001</v>
      </c>
      <c r="T71">
        <v>5.4930000000000003</v>
      </c>
      <c r="U71">
        <v>17</v>
      </c>
      <c r="V71" s="78">
        <v>245.27466319999999</v>
      </c>
    </row>
    <row r="72" spans="1:22" x14ac:dyDescent="0.25">
      <c r="A72" t="s">
        <v>7</v>
      </c>
      <c r="B72">
        <v>6.3622222199999996</v>
      </c>
      <c r="C72">
        <v>3.3975</v>
      </c>
      <c r="D72" s="72">
        <v>43896</v>
      </c>
      <c r="E72" t="s">
        <v>4</v>
      </c>
      <c r="F72">
        <v>5</v>
      </c>
      <c r="G72">
        <v>29.3</v>
      </c>
      <c r="H72">
        <v>28.5</v>
      </c>
      <c r="I72">
        <v>1764.4</v>
      </c>
      <c r="J72">
        <v>1970.2</v>
      </c>
      <c r="K72">
        <v>7.9359999999999999</v>
      </c>
      <c r="L72">
        <v>488.8</v>
      </c>
      <c r="M72">
        <v>1603.1</v>
      </c>
      <c r="N72">
        <v>148.4</v>
      </c>
      <c r="O72">
        <v>3.81</v>
      </c>
      <c r="P72">
        <v>2.5</v>
      </c>
      <c r="Q72">
        <v>1.264</v>
      </c>
      <c r="R72">
        <v>14.031000000000001</v>
      </c>
      <c r="S72">
        <v>0.77500000000000002</v>
      </c>
      <c r="T72">
        <v>19.306999999999999</v>
      </c>
      <c r="U72">
        <v>9.1</v>
      </c>
      <c r="V72" s="78">
        <v>488.8852875</v>
      </c>
    </row>
    <row r="73" spans="1:22" x14ac:dyDescent="0.25">
      <c r="A73" t="s">
        <v>7</v>
      </c>
      <c r="B73">
        <v>6.3622222199999996</v>
      </c>
      <c r="C73">
        <v>3.3975</v>
      </c>
      <c r="D73" s="72">
        <v>43896</v>
      </c>
      <c r="E73" t="s">
        <v>4</v>
      </c>
      <c r="F73">
        <v>15</v>
      </c>
      <c r="G73">
        <v>29.5</v>
      </c>
      <c r="H73">
        <v>31.3</v>
      </c>
      <c r="I73">
        <v>1880</v>
      </c>
      <c r="J73">
        <v>2110.8000000000002</v>
      </c>
      <c r="K73">
        <v>7.9249999999999998</v>
      </c>
      <c r="L73">
        <v>523.1</v>
      </c>
      <c r="M73">
        <v>1700.2</v>
      </c>
      <c r="N73">
        <v>166.2</v>
      </c>
      <c r="O73">
        <v>4.16</v>
      </c>
      <c r="P73">
        <v>2.76</v>
      </c>
      <c r="Q73">
        <v>1.579</v>
      </c>
      <c r="R73">
        <v>23.385000000000002</v>
      </c>
      <c r="S73">
        <v>1.2210000000000001</v>
      </c>
      <c r="T73">
        <v>12.317</v>
      </c>
      <c r="U73">
        <v>12.8</v>
      </c>
      <c r="V73" s="78">
        <v>488.8852875</v>
      </c>
    </row>
    <row r="74" spans="1:22" x14ac:dyDescent="0.25">
      <c r="A74" t="s">
        <v>7</v>
      </c>
      <c r="B74">
        <v>6.3622222199999996</v>
      </c>
      <c r="C74">
        <v>3.3975</v>
      </c>
      <c r="D74" s="72">
        <v>44119</v>
      </c>
      <c r="E74" t="s">
        <v>3</v>
      </c>
      <c r="F74">
        <v>5</v>
      </c>
      <c r="G74">
        <v>24.2</v>
      </c>
      <c r="H74">
        <v>33</v>
      </c>
      <c r="I74">
        <v>1966.6</v>
      </c>
      <c r="J74">
        <v>2257.5</v>
      </c>
      <c r="K74">
        <v>8.0709999999999997</v>
      </c>
      <c r="L74">
        <v>367.6</v>
      </c>
      <c r="M74">
        <v>1748.3</v>
      </c>
      <c r="N74">
        <v>207.6</v>
      </c>
      <c r="O74">
        <v>5.04</v>
      </c>
      <c r="P74">
        <v>3.3</v>
      </c>
      <c r="Q74">
        <v>0.11600000000000001</v>
      </c>
      <c r="R74">
        <v>26.933</v>
      </c>
      <c r="S74">
        <v>1.1739999999999999</v>
      </c>
      <c r="T74">
        <v>9.4870000000000001</v>
      </c>
      <c r="U74">
        <v>20.62</v>
      </c>
      <c r="V74" s="78">
        <v>18.601987640000001</v>
      </c>
    </row>
    <row r="75" spans="1:22" x14ac:dyDescent="0.25">
      <c r="A75" t="s">
        <v>7</v>
      </c>
      <c r="B75">
        <v>6.3622222199999996</v>
      </c>
      <c r="C75">
        <v>3.3975</v>
      </c>
      <c r="D75" s="72">
        <v>44154</v>
      </c>
      <c r="E75" t="s">
        <v>3</v>
      </c>
      <c r="F75">
        <v>5</v>
      </c>
      <c r="G75">
        <v>29.5</v>
      </c>
      <c r="H75">
        <v>33.700000000000003</v>
      </c>
      <c r="I75">
        <v>1932.9</v>
      </c>
      <c r="J75">
        <v>2222.3000000000002</v>
      </c>
      <c r="K75">
        <v>7.9880000000000004</v>
      </c>
      <c r="L75">
        <v>450.3</v>
      </c>
      <c r="M75">
        <v>1715.2</v>
      </c>
      <c r="N75">
        <v>206.1</v>
      </c>
      <c r="O75">
        <v>5.05</v>
      </c>
      <c r="P75">
        <v>3.37</v>
      </c>
      <c r="Q75">
        <v>0.21099999999999999</v>
      </c>
      <c r="R75">
        <v>9.8379999999999992</v>
      </c>
      <c r="S75">
        <v>0.46899999999999997</v>
      </c>
      <c r="T75">
        <v>5.8250000000000002</v>
      </c>
      <c r="U75">
        <v>15.73</v>
      </c>
      <c r="V75" s="78">
        <v>10.26956356</v>
      </c>
    </row>
    <row r="76" spans="1:22" x14ac:dyDescent="0.25">
      <c r="A76" t="s">
        <v>7</v>
      </c>
      <c r="B76">
        <v>6.3622222199999996</v>
      </c>
      <c r="C76">
        <v>3.3975</v>
      </c>
      <c r="D76" s="72">
        <v>44187</v>
      </c>
      <c r="E76" t="s">
        <v>3</v>
      </c>
      <c r="F76">
        <v>5</v>
      </c>
      <c r="G76">
        <v>30.1</v>
      </c>
      <c r="H76">
        <v>33.6</v>
      </c>
      <c r="I76">
        <v>1923.5</v>
      </c>
      <c r="J76">
        <v>2214.1</v>
      </c>
      <c r="K76">
        <v>7.9850000000000003</v>
      </c>
      <c r="L76">
        <v>453.7</v>
      </c>
      <c r="M76">
        <v>1705.2</v>
      </c>
      <c r="N76">
        <v>206.9</v>
      </c>
      <c r="O76">
        <v>5.09</v>
      </c>
      <c r="P76">
        <v>3.4</v>
      </c>
      <c r="Q76">
        <v>0.221</v>
      </c>
      <c r="R76">
        <v>15.483000000000001</v>
      </c>
      <c r="S76">
        <v>1.1739999999999999</v>
      </c>
      <c r="T76">
        <v>5.8250000000000002</v>
      </c>
      <c r="U76">
        <v>16.05</v>
      </c>
      <c r="V76" s="78">
        <v>106.2234368</v>
      </c>
    </row>
    <row r="77" spans="1:22" x14ac:dyDescent="0.25">
      <c r="A77" t="s">
        <v>7</v>
      </c>
      <c r="B77">
        <v>6.3622222199999996</v>
      </c>
      <c r="C77">
        <v>3.3975</v>
      </c>
      <c r="D77" s="72">
        <v>44215</v>
      </c>
      <c r="E77" t="s">
        <v>4</v>
      </c>
      <c r="F77">
        <v>5</v>
      </c>
      <c r="G77">
        <v>26</v>
      </c>
      <c r="H77">
        <v>35.1</v>
      </c>
      <c r="I77">
        <v>2013.4</v>
      </c>
      <c r="J77">
        <v>2317.8000000000002</v>
      </c>
      <c r="K77">
        <v>8.032</v>
      </c>
      <c r="L77">
        <v>414.3</v>
      </c>
      <c r="M77">
        <v>1785.6</v>
      </c>
      <c r="N77">
        <v>216.4</v>
      </c>
      <c r="O77">
        <v>5.21</v>
      </c>
      <c r="P77">
        <v>3.45</v>
      </c>
      <c r="Q77">
        <v>0.84199999999999997</v>
      </c>
      <c r="R77">
        <v>15.483000000000001</v>
      </c>
      <c r="S77">
        <v>7.1999999999999995E-2</v>
      </c>
      <c r="T77">
        <v>3.9950000000000001</v>
      </c>
      <c r="U77">
        <v>15.4</v>
      </c>
      <c r="V77" s="78">
        <v>91.222036799999998</v>
      </c>
    </row>
    <row r="78" spans="1:22" x14ac:dyDescent="0.25">
      <c r="A78" t="s">
        <v>7</v>
      </c>
      <c r="B78">
        <v>6.3622222199999996</v>
      </c>
      <c r="C78">
        <v>3.3975</v>
      </c>
      <c r="D78" s="72">
        <v>44215</v>
      </c>
      <c r="E78" t="s">
        <v>4</v>
      </c>
      <c r="F78">
        <v>15</v>
      </c>
      <c r="G78">
        <v>26.5</v>
      </c>
      <c r="H78">
        <v>34.5</v>
      </c>
      <c r="I78">
        <v>2016.5</v>
      </c>
      <c r="J78">
        <v>2317.6</v>
      </c>
      <c r="K78">
        <v>8.0259999999999998</v>
      </c>
      <c r="L78">
        <v>422</v>
      </c>
      <c r="M78">
        <v>1789.8</v>
      </c>
      <c r="N78">
        <v>215.2</v>
      </c>
      <c r="O78">
        <v>5.2</v>
      </c>
      <c r="P78">
        <v>3.44</v>
      </c>
      <c r="Q78">
        <v>0.73699999999999999</v>
      </c>
      <c r="R78">
        <v>26.952999999999999</v>
      </c>
      <c r="S78">
        <v>7.5999999999999998E-2</v>
      </c>
      <c r="T78">
        <v>2.4969999999999999</v>
      </c>
      <c r="U78">
        <v>20.8</v>
      </c>
      <c r="V78" s="78">
        <v>91.222036799999998</v>
      </c>
    </row>
    <row r="79" spans="1:22" x14ac:dyDescent="0.25">
      <c r="A79" t="s">
        <v>7</v>
      </c>
      <c r="B79">
        <v>6.3622222199999996</v>
      </c>
      <c r="C79">
        <v>3.3975</v>
      </c>
      <c r="D79" s="72">
        <v>44293</v>
      </c>
      <c r="E79" t="s">
        <v>3</v>
      </c>
      <c r="F79">
        <v>5</v>
      </c>
      <c r="G79">
        <v>24</v>
      </c>
      <c r="H79">
        <v>35.9</v>
      </c>
      <c r="I79">
        <v>2129.4</v>
      </c>
      <c r="J79">
        <v>2355.9</v>
      </c>
      <c r="K79">
        <v>7.9020000000000001</v>
      </c>
      <c r="L79">
        <v>598.20000000000005</v>
      </c>
      <c r="M79">
        <v>1946</v>
      </c>
      <c r="N79">
        <v>166.1</v>
      </c>
      <c r="O79">
        <v>3.94</v>
      </c>
      <c r="P79">
        <v>2.59</v>
      </c>
      <c r="Q79">
        <v>1.895</v>
      </c>
      <c r="R79">
        <v>36.286999999999999</v>
      </c>
      <c r="S79">
        <v>0.21</v>
      </c>
      <c r="T79">
        <v>4.66</v>
      </c>
      <c r="U79">
        <v>16.600000000000001</v>
      </c>
      <c r="V79" s="78">
        <v>0.45746135700000001</v>
      </c>
    </row>
    <row r="80" spans="1:22" x14ac:dyDescent="0.25">
      <c r="A80" t="s">
        <v>7</v>
      </c>
      <c r="B80">
        <v>6.3622222199999996</v>
      </c>
      <c r="C80">
        <v>3.3975</v>
      </c>
      <c r="D80" s="72">
        <v>44293</v>
      </c>
      <c r="E80" t="s">
        <v>3</v>
      </c>
      <c r="F80">
        <v>15</v>
      </c>
      <c r="G80">
        <v>29</v>
      </c>
      <c r="H80">
        <v>35.1</v>
      </c>
      <c r="I80">
        <v>2001</v>
      </c>
      <c r="J80">
        <v>2303.3000000000002</v>
      </c>
      <c r="K80">
        <v>7.9850000000000003</v>
      </c>
      <c r="L80">
        <v>466.6</v>
      </c>
      <c r="M80">
        <v>1774.4</v>
      </c>
      <c r="N80">
        <v>214.6</v>
      </c>
      <c r="O80">
        <v>5.2</v>
      </c>
      <c r="P80">
        <v>3.47</v>
      </c>
      <c r="Q80">
        <v>2.0009999999999999</v>
      </c>
      <c r="R80">
        <v>28.224</v>
      </c>
      <c r="S80">
        <v>7.3999999999999996E-2</v>
      </c>
      <c r="T80">
        <v>2.4969999999999999</v>
      </c>
      <c r="U80">
        <v>11.4</v>
      </c>
      <c r="V80" s="78">
        <v>0.45746135700000001</v>
      </c>
    </row>
  </sheetData>
  <sortState xmlns:xlrd2="http://schemas.microsoft.com/office/spreadsheetml/2017/richdata2" ref="A2:V80">
    <sortCondition ref="A2:A80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9D790-84E3-4294-BFE6-4C63C26D4085}">
  <dimension ref="A1:C13"/>
  <sheetViews>
    <sheetView workbookViewId="0">
      <selection activeCell="L13" sqref="L13"/>
    </sheetView>
  </sheetViews>
  <sheetFormatPr defaultRowHeight="15" x14ac:dyDescent="0.25"/>
  <cols>
    <col min="1" max="1" width="21.140625" bestFit="1" customWidth="1"/>
    <col min="2" max="2" width="22.85546875" bestFit="1" customWidth="1"/>
    <col min="3" max="3" width="17.85546875" bestFit="1" customWidth="1"/>
  </cols>
  <sheetData>
    <row r="1" spans="1:3" x14ac:dyDescent="0.25">
      <c r="A1" t="s">
        <v>189</v>
      </c>
      <c r="B1" t="s">
        <v>184</v>
      </c>
      <c r="C1" t="s">
        <v>185</v>
      </c>
    </row>
    <row r="2" spans="1:3" x14ac:dyDescent="0.25">
      <c r="A2" t="s">
        <v>174</v>
      </c>
      <c r="B2">
        <v>54505.218340611355</v>
      </c>
      <c r="C2">
        <v>74910.682186312959</v>
      </c>
    </row>
    <row r="3" spans="1:3" x14ac:dyDescent="0.25">
      <c r="A3" t="s">
        <v>175</v>
      </c>
      <c r="B3">
        <v>64404.448211140822</v>
      </c>
      <c r="C3">
        <v>211206.60859478236</v>
      </c>
    </row>
    <row r="4" spans="1:3" x14ac:dyDescent="0.25">
      <c r="A4" t="s">
        <v>176</v>
      </c>
      <c r="B4">
        <v>43128.317008108112</v>
      </c>
      <c r="C4">
        <v>81988.868396993974</v>
      </c>
    </row>
    <row r="5" spans="1:3" x14ac:dyDescent="0.25">
      <c r="A5" t="s">
        <v>187</v>
      </c>
      <c r="B5">
        <v>13035</v>
      </c>
      <c r="C5">
        <v>10013.279873157537</v>
      </c>
    </row>
    <row r="6" spans="1:3" x14ac:dyDescent="0.25">
      <c r="A6" t="s">
        <v>178</v>
      </c>
      <c r="B6">
        <v>8102.0438249666668</v>
      </c>
      <c r="C6">
        <v>6302.5431004885895</v>
      </c>
    </row>
    <row r="7" spans="1:3" x14ac:dyDescent="0.25">
      <c r="A7" t="s">
        <v>179</v>
      </c>
      <c r="B7">
        <v>46125.076923076922</v>
      </c>
      <c r="C7">
        <v>143306.93669098453</v>
      </c>
    </row>
    <row r="8" spans="1:3" x14ac:dyDescent="0.25">
      <c r="A8" t="s">
        <v>180</v>
      </c>
      <c r="B8">
        <v>21288.411371237456</v>
      </c>
      <c r="C8">
        <v>57458.389814879061</v>
      </c>
    </row>
    <row r="9" spans="1:3" x14ac:dyDescent="0.25">
      <c r="A9" t="s">
        <v>181</v>
      </c>
      <c r="B9">
        <v>6282.82</v>
      </c>
      <c r="C9">
        <v>9322.6035522951788</v>
      </c>
    </row>
    <row r="10" spans="1:3" x14ac:dyDescent="0.25">
      <c r="A10" t="s">
        <v>188</v>
      </c>
      <c r="B10">
        <v>29793.86462882096</v>
      </c>
      <c r="C10">
        <v>165131.12864766258</v>
      </c>
    </row>
    <row r="11" spans="1:3" x14ac:dyDescent="0.25">
      <c r="A11" t="s">
        <v>183</v>
      </c>
      <c r="B11">
        <v>16.524999999999999</v>
      </c>
      <c r="C11">
        <v>17.885249974956089</v>
      </c>
    </row>
    <row r="12" spans="1:3" x14ac:dyDescent="0.25">
      <c r="A12" t="s">
        <v>177</v>
      </c>
      <c r="B12">
        <v>92208.200952380939</v>
      </c>
      <c r="C12">
        <v>377975.73312721442</v>
      </c>
    </row>
    <row r="13" spans="1:3" x14ac:dyDescent="0.25">
      <c r="A13" t="s">
        <v>182</v>
      </c>
      <c r="B13">
        <v>605.875</v>
      </c>
      <c r="C13">
        <v>641.63506256616449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Captions</vt:lpstr>
      <vt:lpstr>TableS1</vt:lpstr>
      <vt:lpstr>TableS2</vt:lpstr>
      <vt:lpstr>TableS3</vt:lpstr>
      <vt:lpstr>TableS4</vt:lpstr>
      <vt:lpstr>Table S5</vt:lpstr>
      <vt:lpstr>Table S6</vt:lpstr>
      <vt:lpstr>Table S7</vt:lpstr>
      <vt:lpstr>Table S8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Grelaud</dc:creator>
  <cp:keywords/>
  <dc:description/>
  <cp:lastModifiedBy>Michael Grelaud</cp:lastModifiedBy>
  <cp:revision/>
  <dcterms:created xsi:type="dcterms:W3CDTF">2025-05-29T08:12:33Z</dcterms:created>
  <dcterms:modified xsi:type="dcterms:W3CDTF">2025-06-23T12:21:37Z</dcterms:modified>
  <cp:category/>
  <cp:contentStatus/>
</cp:coreProperties>
</file>