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ll-PhD\Manuscripts\Cosmogenic\Submission\Doll et al\Supplementary material\"/>
    </mc:Choice>
  </mc:AlternateContent>
  <xr:revisionPtr revIDLastSave="0" documentId="13_ncr:1_{8D770F05-6C30-498E-B87F-74425F0C73A2}" xr6:coauthVersionLast="47" xr6:coauthVersionMax="47" xr10:uidLastSave="{00000000-0000-0000-0000-000000000000}"/>
  <bookViews>
    <workbookView xWindow="-110" yWindow="-110" windowWidth="19420" windowHeight="10420" xr2:uid="{C6411199-1855-496E-A158-F93B6B42D503}"/>
  </bookViews>
  <sheets>
    <sheet name="Data&amp;Calculations" sheetId="1" r:id="rId1"/>
    <sheet name="Readm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1" l="1"/>
  <c r="R7" i="1"/>
  <c r="Q8" i="1"/>
  <c r="R8" i="1"/>
  <c r="Q10" i="1"/>
  <c r="R10" i="1"/>
  <c r="Q11" i="1"/>
  <c r="R11" i="1"/>
  <c r="Q12" i="1"/>
  <c r="R12" i="1"/>
  <c r="Q13" i="1"/>
  <c r="R13" i="1"/>
  <c r="Q15" i="1"/>
  <c r="R15" i="1"/>
  <c r="Q16" i="1"/>
  <c r="R16" i="1"/>
  <c r="Q17" i="1"/>
  <c r="R17" i="1"/>
  <c r="Q18" i="1"/>
  <c r="R18" i="1"/>
  <c r="Q20" i="1"/>
  <c r="R20" i="1"/>
  <c r="Q21" i="1"/>
  <c r="R21" i="1"/>
  <c r="Q22" i="1"/>
  <c r="R22" i="1"/>
  <c r="Q23" i="1"/>
  <c r="R23" i="1"/>
  <c r="Q25" i="1"/>
  <c r="R25" i="1"/>
  <c r="Q26" i="1"/>
  <c r="R26" i="1"/>
  <c r="Q27" i="1"/>
  <c r="R27" i="1"/>
  <c r="Q28" i="1"/>
  <c r="R28" i="1"/>
  <c r="Q29" i="1"/>
  <c r="R29" i="1"/>
  <c r="Q30" i="1"/>
  <c r="R30" i="1"/>
  <c r="Q32" i="1"/>
  <c r="R32" i="1"/>
  <c r="Q33" i="1"/>
  <c r="R33" i="1"/>
  <c r="Q34" i="1"/>
  <c r="R34" i="1"/>
  <c r="Q35" i="1"/>
  <c r="R35" i="1"/>
  <c r="Q37" i="1"/>
  <c r="R37" i="1"/>
  <c r="Q38" i="1"/>
  <c r="R38" i="1"/>
  <c r="Q40" i="1"/>
  <c r="R40" i="1"/>
  <c r="Q41" i="1"/>
  <c r="R41" i="1"/>
  <c r="Q42" i="1"/>
  <c r="R42" i="1"/>
  <c r="Q43" i="1"/>
  <c r="R43" i="1"/>
  <c r="Q45" i="1"/>
  <c r="R45" i="1"/>
  <c r="Q46" i="1"/>
  <c r="R46" i="1"/>
  <c r="Q47" i="1"/>
  <c r="R47" i="1"/>
  <c r="Q48" i="1"/>
  <c r="R48" i="1"/>
  <c r="Q50" i="1"/>
  <c r="R50" i="1"/>
  <c r="Q51" i="1"/>
  <c r="R51" i="1"/>
  <c r="Q52" i="1"/>
  <c r="R52" i="1"/>
  <c r="Q54" i="1"/>
  <c r="R54" i="1"/>
  <c r="Q55" i="1"/>
  <c r="R55" i="1"/>
  <c r="Q56" i="1"/>
  <c r="R56" i="1"/>
  <c r="Q58" i="1"/>
  <c r="R58" i="1"/>
  <c r="Q59" i="1"/>
  <c r="R59" i="1"/>
  <c r="Q60" i="1"/>
  <c r="R60" i="1"/>
  <c r="Q62" i="1"/>
  <c r="R62" i="1"/>
  <c r="Q63" i="1"/>
  <c r="R63" i="1"/>
  <c r="Q64" i="1"/>
  <c r="R64" i="1"/>
  <c r="Q66" i="1"/>
  <c r="R66" i="1"/>
  <c r="Q67" i="1"/>
  <c r="R67" i="1"/>
  <c r="Q68" i="1"/>
  <c r="R68" i="1"/>
  <c r="Q70" i="1"/>
  <c r="R70" i="1"/>
  <c r="Q71" i="1"/>
  <c r="R71" i="1"/>
  <c r="Q72" i="1"/>
  <c r="R72" i="1"/>
  <c r="Q74" i="1"/>
  <c r="R74" i="1"/>
  <c r="Q75" i="1"/>
  <c r="R75" i="1"/>
  <c r="Q76" i="1"/>
  <c r="R76" i="1"/>
  <c r="Q77" i="1"/>
  <c r="R77" i="1"/>
  <c r="Q78" i="1"/>
  <c r="R78" i="1"/>
  <c r="Q80" i="1"/>
  <c r="R80" i="1"/>
  <c r="Q81" i="1"/>
  <c r="R81" i="1"/>
  <c r="Q82" i="1"/>
  <c r="R82" i="1"/>
  <c r="Q84" i="1"/>
  <c r="R84" i="1"/>
  <c r="Q85" i="1"/>
  <c r="R85" i="1"/>
  <c r="Q87" i="1"/>
  <c r="R87" i="1"/>
  <c r="Q88" i="1"/>
  <c r="R88" i="1"/>
  <c r="Q89" i="1"/>
  <c r="R89" i="1"/>
  <c r="Q90" i="1"/>
  <c r="R90" i="1"/>
  <c r="Q91" i="1"/>
  <c r="R91" i="1"/>
  <c r="Q92" i="1"/>
  <c r="R92" i="1"/>
  <c r="Q94" i="1"/>
  <c r="R94" i="1"/>
  <c r="Q95" i="1"/>
  <c r="R95" i="1"/>
  <c r="Q96" i="1"/>
  <c r="R96" i="1"/>
  <c r="Q97" i="1"/>
  <c r="R97" i="1"/>
  <c r="Q99" i="1"/>
  <c r="R99" i="1"/>
  <c r="Q100" i="1"/>
  <c r="R100" i="1"/>
  <c r="Q102" i="1"/>
  <c r="R102" i="1"/>
  <c r="Q103" i="1"/>
  <c r="R103" i="1"/>
  <c r="Q104" i="1"/>
  <c r="R104" i="1"/>
  <c r="R2" i="1"/>
  <c r="Q2" i="1"/>
  <c r="Q5" i="1"/>
  <c r="Q4" i="1"/>
  <c r="Q3" i="1"/>
  <c r="AD2" i="1"/>
  <c r="R3" i="1"/>
  <c r="R4" i="1"/>
  <c r="R5" i="1"/>
  <c r="AC104" i="1" l="1"/>
  <c r="AD104" i="1" s="1"/>
  <c r="AC3" i="1"/>
  <c r="AD3" i="1" s="1"/>
  <c r="AC4" i="1"/>
  <c r="AD4" i="1"/>
  <c r="AC5" i="1"/>
  <c r="AD5" i="1" s="1"/>
  <c r="AC7" i="1"/>
  <c r="AD7" i="1" s="1"/>
  <c r="AC8" i="1"/>
  <c r="AD8" i="1"/>
  <c r="AC10" i="1"/>
  <c r="AD10" i="1"/>
  <c r="AC11" i="1"/>
  <c r="AD11" i="1" s="1"/>
  <c r="AC12" i="1"/>
  <c r="AD12" i="1"/>
  <c r="AC13" i="1"/>
  <c r="AD13" i="1" s="1"/>
  <c r="AC15" i="1"/>
  <c r="AD15" i="1" s="1"/>
  <c r="AC16" i="1"/>
  <c r="AD16" i="1"/>
  <c r="AC17" i="1"/>
  <c r="AD17" i="1" s="1"/>
  <c r="AC18" i="1"/>
  <c r="AD18" i="1"/>
  <c r="AC20" i="1"/>
  <c r="AD20" i="1"/>
  <c r="AC21" i="1"/>
  <c r="AD21" i="1" s="1"/>
  <c r="AC22" i="1"/>
  <c r="AD22" i="1"/>
  <c r="AC23" i="1"/>
  <c r="AD23" i="1" s="1"/>
  <c r="AC25" i="1"/>
  <c r="AD25" i="1" s="1"/>
  <c r="AC26" i="1"/>
  <c r="AD26" i="1"/>
  <c r="AC27" i="1"/>
  <c r="AD27" i="1" s="1"/>
  <c r="AC29" i="1"/>
  <c r="AD29" i="1" s="1"/>
  <c r="AC30" i="1"/>
  <c r="AD30" i="1"/>
  <c r="AC32" i="1"/>
  <c r="AD32" i="1"/>
  <c r="AC33" i="1"/>
  <c r="AD33" i="1" s="1"/>
  <c r="AC34" i="1"/>
  <c r="AD34" i="1"/>
  <c r="AC35" i="1"/>
  <c r="AD35" i="1" s="1"/>
  <c r="AC37" i="1"/>
  <c r="AD37" i="1" s="1"/>
  <c r="AC38" i="1"/>
  <c r="AD38" i="1"/>
  <c r="AC40" i="1"/>
  <c r="AD40" i="1"/>
  <c r="AC41" i="1"/>
  <c r="AD41" i="1" s="1"/>
  <c r="AC42" i="1"/>
  <c r="AD42" i="1"/>
  <c r="AC43" i="1"/>
  <c r="AD43" i="1" s="1"/>
  <c r="AC45" i="1"/>
  <c r="AD45" i="1" s="1"/>
  <c r="AC46" i="1"/>
  <c r="AD46" i="1"/>
  <c r="AC47" i="1"/>
  <c r="AD47" i="1" s="1"/>
  <c r="AC48" i="1"/>
  <c r="AD48" i="1"/>
  <c r="AC50" i="1"/>
  <c r="AD50" i="1"/>
  <c r="AC51" i="1"/>
  <c r="AD51" i="1" s="1"/>
  <c r="AC52" i="1"/>
  <c r="AD52" i="1"/>
  <c r="AC54" i="1"/>
  <c r="AD54" i="1"/>
  <c r="AC55" i="1"/>
  <c r="AD55" i="1" s="1"/>
  <c r="AC56" i="1"/>
  <c r="AD56" i="1"/>
  <c r="AC58" i="1"/>
  <c r="AD58" i="1"/>
  <c r="AC59" i="1"/>
  <c r="AD59" i="1" s="1"/>
  <c r="AC60" i="1"/>
  <c r="AD60" i="1"/>
  <c r="AC62" i="1"/>
  <c r="AD62" i="1"/>
  <c r="AC63" i="1"/>
  <c r="AD63" i="1" s="1"/>
  <c r="AC64" i="1"/>
  <c r="AD64" i="1"/>
  <c r="AC67" i="1"/>
  <c r="AD67" i="1" s="1"/>
  <c r="AC68" i="1"/>
  <c r="AD68" i="1"/>
  <c r="AC70" i="1"/>
  <c r="AD70" i="1"/>
  <c r="AC71" i="1"/>
  <c r="AD71" i="1" s="1"/>
  <c r="AC72" i="1"/>
  <c r="AD72" i="1"/>
  <c r="AC74" i="1"/>
  <c r="AD74" i="1"/>
  <c r="AC75" i="1"/>
  <c r="AD75" i="1" s="1"/>
  <c r="AC76" i="1"/>
  <c r="AD76" i="1"/>
  <c r="AC77" i="1"/>
  <c r="AD77" i="1" s="1"/>
  <c r="AC78" i="1"/>
  <c r="AD78" i="1"/>
  <c r="AC80" i="1"/>
  <c r="AD80" i="1"/>
  <c r="AC81" i="1"/>
  <c r="AD81" i="1" s="1"/>
  <c r="AC82" i="1"/>
  <c r="AD82" i="1"/>
  <c r="AC84" i="1"/>
  <c r="AD84" i="1"/>
  <c r="AC85" i="1"/>
  <c r="AD85" i="1" s="1"/>
  <c r="AC87" i="1"/>
  <c r="AD87" i="1" s="1"/>
  <c r="AC88" i="1"/>
  <c r="AD88" i="1"/>
  <c r="AC89" i="1"/>
  <c r="AD89" i="1" s="1"/>
  <c r="AC90" i="1"/>
  <c r="AD90" i="1"/>
  <c r="AC91" i="1"/>
  <c r="AD91" i="1" s="1"/>
  <c r="AC94" i="1"/>
  <c r="AD94" i="1"/>
  <c r="AC95" i="1"/>
  <c r="AD95" i="1" s="1"/>
  <c r="AC96" i="1"/>
  <c r="AD96" i="1"/>
  <c r="AC97" i="1"/>
  <c r="AD97" i="1" s="1"/>
  <c r="AC99" i="1"/>
  <c r="AD99" i="1" s="1"/>
  <c r="AC100" i="1"/>
  <c r="AD100" i="1"/>
  <c r="AC102" i="1"/>
  <c r="AD102" i="1"/>
  <c r="AC103" i="1"/>
  <c r="AD103" i="1" s="1"/>
  <c r="AC2" i="1" l="1"/>
  <c r="K15" i="1" l="1"/>
  <c r="O15" i="1" s="1"/>
  <c r="L15" i="1"/>
  <c r="AE15" i="1"/>
  <c r="Y15" i="1"/>
  <c r="Z15" i="1" s="1"/>
  <c r="N15" i="1"/>
  <c r="K16" i="1"/>
  <c r="S15" i="1" l="1"/>
  <c r="AI15" i="1" s="1"/>
  <c r="AL15" i="1" s="1"/>
  <c r="AF15" i="1"/>
  <c r="AH15" i="1" s="1"/>
  <c r="AG15" i="1"/>
  <c r="P15" i="1"/>
  <c r="T15" i="1" s="1"/>
  <c r="AJ15" i="1" l="1"/>
  <c r="AK15" i="1" s="1"/>
  <c r="Y2" i="1"/>
  <c r="AI91" i="1"/>
  <c r="AE91" i="1"/>
  <c r="O91" i="1"/>
  <c r="P91" i="1" s="1"/>
  <c r="O92" i="1"/>
  <c r="L2" i="1"/>
  <c r="N28" i="1"/>
  <c r="L28" i="1"/>
  <c r="K28" i="1"/>
  <c r="O28" i="1" s="1"/>
  <c r="AE2" i="1"/>
  <c r="AG2" i="1" s="1"/>
  <c r="N104" i="1"/>
  <c r="N103" i="1"/>
  <c r="N102" i="1"/>
  <c r="N100" i="1"/>
  <c r="N99" i="1"/>
  <c r="N97" i="1"/>
  <c r="N96" i="1"/>
  <c r="N95" i="1"/>
  <c r="N94" i="1"/>
  <c r="N90" i="1"/>
  <c r="N89" i="1"/>
  <c r="N88" i="1"/>
  <c r="N87" i="1"/>
  <c r="N85" i="1"/>
  <c r="N84" i="1"/>
  <c r="N82" i="1"/>
  <c r="N81" i="1"/>
  <c r="N80" i="1"/>
  <c r="N78" i="1"/>
  <c r="N77" i="1"/>
  <c r="N76" i="1"/>
  <c r="N75" i="1"/>
  <c r="N74" i="1"/>
  <c r="N72" i="1"/>
  <c r="N71" i="1"/>
  <c r="N70" i="1"/>
  <c r="N68" i="1"/>
  <c r="N67" i="1"/>
  <c r="N66" i="1"/>
  <c r="N64" i="1"/>
  <c r="N63" i="1"/>
  <c r="N62" i="1"/>
  <c r="N60" i="1"/>
  <c r="N59" i="1"/>
  <c r="N58" i="1"/>
  <c r="N56" i="1"/>
  <c r="N55" i="1"/>
  <c r="N54" i="1"/>
  <c r="N52" i="1"/>
  <c r="N51" i="1"/>
  <c r="N50" i="1"/>
  <c r="N48" i="1"/>
  <c r="N46" i="1"/>
  <c r="N47" i="1"/>
  <c r="N45" i="1"/>
  <c r="N43" i="1"/>
  <c r="N42" i="1"/>
  <c r="N41" i="1"/>
  <c r="N40" i="1"/>
  <c r="N38" i="1"/>
  <c r="N37" i="1"/>
  <c r="N35" i="1"/>
  <c r="N34" i="1"/>
  <c r="N33" i="1"/>
  <c r="N32" i="1"/>
  <c r="N30" i="1"/>
  <c r="N29" i="1"/>
  <c r="N27" i="1"/>
  <c r="N26" i="1"/>
  <c r="N25" i="1"/>
  <c r="N23" i="1"/>
  <c r="N22" i="1"/>
  <c r="N21" i="1"/>
  <c r="N20" i="1"/>
  <c r="N13" i="1"/>
  <c r="N12" i="1"/>
  <c r="N11" i="1"/>
  <c r="N10" i="1"/>
  <c r="N8" i="1"/>
  <c r="N7" i="1"/>
  <c r="N3" i="1"/>
  <c r="N4" i="1"/>
  <c r="N5" i="1"/>
  <c r="N2" i="1"/>
  <c r="N16" i="1"/>
  <c r="N17" i="1"/>
  <c r="N18" i="1"/>
  <c r="AF91" i="1" l="1"/>
  <c r="AH91" i="1" s="1"/>
  <c r="AG91" i="1"/>
  <c r="T91" i="1"/>
  <c r="P92" i="1"/>
  <c r="T92" i="1" s="1"/>
  <c r="P28" i="1"/>
  <c r="T28" i="1" s="1"/>
  <c r="AF2" i="1"/>
  <c r="AH2" i="1" s="1"/>
  <c r="S28" i="1"/>
  <c r="K7" i="1"/>
  <c r="O7" i="1" s="1"/>
  <c r="L7" i="1"/>
  <c r="K8" i="1"/>
  <c r="O8" i="1" s="1"/>
  <c r="L8" i="1"/>
  <c r="K10" i="1"/>
  <c r="O10" i="1" s="1"/>
  <c r="L10" i="1"/>
  <c r="K11" i="1"/>
  <c r="O11" i="1" s="1"/>
  <c r="L11" i="1"/>
  <c r="K12" i="1"/>
  <c r="O12" i="1" s="1"/>
  <c r="L12" i="1"/>
  <c r="K13" i="1"/>
  <c r="O13" i="1" s="1"/>
  <c r="L13" i="1"/>
  <c r="O16" i="1"/>
  <c r="L16" i="1"/>
  <c r="K17" i="1"/>
  <c r="O17" i="1" s="1"/>
  <c r="L17" i="1"/>
  <c r="K18" i="1"/>
  <c r="O18" i="1" s="1"/>
  <c r="L18" i="1"/>
  <c r="K20" i="1"/>
  <c r="O20" i="1" s="1"/>
  <c r="L20" i="1"/>
  <c r="K21" i="1"/>
  <c r="O21" i="1" s="1"/>
  <c r="L21" i="1"/>
  <c r="K22" i="1"/>
  <c r="O22" i="1" s="1"/>
  <c r="L22" i="1"/>
  <c r="K23" i="1"/>
  <c r="O23" i="1" s="1"/>
  <c r="L23" i="1"/>
  <c r="K25" i="1"/>
  <c r="O25" i="1" s="1"/>
  <c r="L25" i="1"/>
  <c r="K26" i="1"/>
  <c r="O26" i="1" s="1"/>
  <c r="L26" i="1"/>
  <c r="K27" i="1"/>
  <c r="O27" i="1" s="1"/>
  <c r="L27" i="1"/>
  <c r="K29" i="1"/>
  <c r="O29" i="1" s="1"/>
  <c r="L29" i="1"/>
  <c r="K30" i="1"/>
  <c r="O30" i="1" s="1"/>
  <c r="L30" i="1"/>
  <c r="K32" i="1"/>
  <c r="O32" i="1" s="1"/>
  <c r="L32" i="1"/>
  <c r="K33" i="1"/>
  <c r="O33" i="1" s="1"/>
  <c r="L33" i="1"/>
  <c r="K34" i="1"/>
  <c r="O34" i="1" s="1"/>
  <c r="L34" i="1"/>
  <c r="K35" i="1"/>
  <c r="O35" i="1" s="1"/>
  <c r="L35" i="1"/>
  <c r="K37" i="1"/>
  <c r="O37" i="1" s="1"/>
  <c r="L37" i="1"/>
  <c r="K38" i="1"/>
  <c r="O38" i="1" s="1"/>
  <c r="L38" i="1"/>
  <c r="K40" i="1"/>
  <c r="O40" i="1" s="1"/>
  <c r="L40" i="1"/>
  <c r="K41" i="1"/>
  <c r="O41" i="1" s="1"/>
  <c r="L41" i="1"/>
  <c r="K42" i="1"/>
  <c r="O42" i="1" s="1"/>
  <c r="L42" i="1"/>
  <c r="K43" i="1"/>
  <c r="O43" i="1" s="1"/>
  <c r="L43" i="1"/>
  <c r="K45" i="1"/>
  <c r="O45" i="1" s="1"/>
  <c r="L45" i="1"/>
  <c r="K46" i="1"/>
  <c r="O46" i="1" s="1"/>
  <c r="L46" i="1"/>
  <c r="K47" i="1"/>
  <c r="O47" i="1" s="1"/>
  <c r="L47" i="1"/>
  <c r="K48" i="1"/>
  <c r="O48" i="1" s="1"/>
  <c r="L48" i="1"/>
  <c r="K50" i="1"/>
  <c r="O50" i="1" s="1"/>
  <c r="L50" i="1"/>
  <c r="K51" i="1"/>
  <c r="O51" i="1" s="1"/>
  <c r="L51" i="1"/>
  <c r="K52" i="1"/>
  <c r="O52" i="1" s="1"/>
  <c r="L52" i="1"/>
  <c r="K54" i="1"/>
  <c r="O54" i="1" s="1"/>
  <c r="L54" i="1"/>
  <c r="K55" i="1"/>
  <c r="O55" i="1" s="1"/>
  <c r="L55" i="1"/>
  <c r="K56" i="1"/>
  <c r="O56" i="1" s="1"/>
  <c r="L56" i="1"/>
  <c r="K58" i="1"/>
  <c r="O58" i="1" s="1"/>
  <c r="L58" i="1"/>
  <c r="K59" i="1"/>
  <c r="O59" i="1" s="1"/>
  <c r="L59" i="1"/>
  <c r="K60" i="1"/>
  <c r="O60" i="1" s="1"/>
  <c r="L60" i="1"/>
  <c r="K62" i="1"/>
  <c r="L62" i="1"/>
  <c r="K63" i="1"/>
  <c r="O63" i="1" s="1"/>
  <c r="L63" i="1"/>
  <c r="K64" i="1"/>
  <c r="O64" i="1" s="1"/>
  <c r="L64" i="1"/>
  <c r="K66" i="1"/>
  <c r="O66" i="1" s="1"/>
  <c r="L66" i="1"/>
  <c r="K67" i="1"/>
  <c r="O67" i="1" s="1"/>
  <c r="L67" i="1"/>
  <c r="K68" i="1"/>
  <c r="O68" i="1" s="1"/>
  <c r="L68" i="1"/>
  <c r="K70" i="1"/>
  <c r="O70" i="1" s="1"/>
  <c r="L70" i="1"/>
  <c r="K71" i="1"/>
  <c r="O71" i="1" s="1"/>
  <c r="L71" i="1"/>
  <c r="K72" i="1"/>
  <c r="O72" i="1" s="1"/>
  <c r="L72" i="1"/>
  <c r="K74" i="1"/>
  <c r="O74" i="1" s="1"/>
  <c r="L74" i="1"/>
  <c r="K75" i="1"/>
  <c r="O75" i="1" s="1"/>
  <c r="L75" i="1"/>
  <c r="K76" i="1"/>
  <c r="O76" i="1" s="1"/>
  <c r="L76" i="1"/>
  <c r="K77" i="1"/>
  <c r="O77" i="1" s="1"/>
  <c r="L77" i="1"/>
  <c r="K78" i="1"/>
  <c r="O78" i="1" s="1"/>
  <c r="L78" i="1"/>
  <c r="K80" i="1"/>
  <c r="O80" i="1" s="1"/>
  <c r="L80" i="1"/>
  <c r="K81" i="1"/>
  <c r="O81" i="1" s="1"/>
  <c r="L81" i="1"/>
  <c r="K82" i="1"/>
  <c r="O82" i="1" s="1"/>
  <c r="L82" i="1"/>
  <c r="K84" i="1"/>
  <c r="O84" i="1" s="1"/>
  <c r="L84" i="1"/>
  <c r="K85" i="1"/>
  <c r="O85" i="1" s="1"/>
  <c r="L85" i="1"/>
  <c r="K87" i="1"/>
  <c r="O87" i="1" s="1"/>
  <c r="L87" i="1"/>
  <c r="K88" i="1"/>
  <c r="O88" i="1" s="1"/>
  <c r="L88" i="1"/>
  <c r="K89" i="1"/>
  <c r="O89" i="1" s="1"/>
  <c r="L89" i="1"/>
  <c r="K90" i="1"/>
  <c r="O90" i="1" s="1"/>
  <c r="L90" i="1"/>
  <c r="K94" i="1"/>
  <c r="O94" i="1" s="1"/>
  <c r="L94" i="1"/>
  <c r="K95" i="1"/>
  <c r="O95" i="1" s="1"/>
  <c r="L95" i="1"/>
  <c r="K96" i="1"/>
  <c r="O96" i="1" s="1"/>
  <c r="L96" i="1"/>
  <c r="K97" i="1"/>
  <c r="O97" i="1" s="1"/>
  <c r="L97" i="1"/>
  <c r="K99" i="1"/>
  <c r="O99" i="1" s="1"/>
  <c r="L99" i="1"/>
  <c r="K100" i="1"/>
  <c r="O100" i="1" s="1"/>
  <c r="L100" i="1"/>
  <c r="K102" i="1"/>
  <c r="O102" i="1" s="1"/>
  <c r="L102" i="1"/>
  <c r="K103" i="1"/>
  <c r="O103" i="1" s="1"/>
  <c r="L103" i="1"/>
  <c r="K104" i="1"/>
  <c r="O104" i="1" s="1"/>
  <c r="L104" i="1"/>
  <c r="K2" i="1"/>
  <c r="O2" i="1" s="1"/>
  <c r="K3" i="1"/>
  <c r="O3" i="1" s="1"/>
  <c r="L3" i="1"/>
  <c r="K4" i="1"/>
  <c r="O4" i="1" s="1"/>
  <c r="L4" i="1"/>
  <c r="K5" i="1"/>
  <c r="O5" i="1" s="1"/>
  <c r="L5" i="1"/>
  <c r="P37" i="1" l="1"/>
  <c r="P96" i="1"/>
  <c r="P84" i="1"/>
  <c r="P78" i="1"/>
  <c r="P74" i="1"/>
  <c r="P68" i="1"/>
  <c r="P63" i="1"/>
  <c r="P58" i="1"/>
  <c r="P52" i="1"/>
  <c r="P47" i="1"/>
  <c r="P42" i="1"/>
  <c r="P32" i="1"/>
  <c r="P26" i="1"/>
  <c r="P21" i="1"/>
  <c r="P16" i="1"/>
  <c r="P3" i="1"/>
  <c r="P10" i="1"/>
  <c r="P100" i="1"/>
  <c r="P95" i="1"/>
  <c r="P88" i="1"/>
  <c r="P82" i="1"/>
  <c r="P77" i="1"/>
  <c r="P72" i="1"/>
  <c r="P67" i="1"/>
  <c r="O62" i="1"/>
  <c r="P56" i="1"/>
  <c r="P51" i="1"/>
  <c r="P46" i="1"/>
  <c r="P41" i="1"/>
  <c r="P35" i="1"/>
  <c r="P30" i="1"/>
  <c r="P25" i="1"/>
  <c r="P20" i="1"/>
  <c r="P13" i="1"/>
  <c r="P8" i="1"/>
  <c r="P102" i="1"/>
  <c r="P89" i="1"/>
  <c r="P104" i="1"/>
  <c r="P99" i="1"/>
  <c r="P94" i="1"/>
  <c r="P87" i="1"/>
  <c r="P81" i="1"/>
  <c r="P76" i="1"/>
  <c r="P71" i="1"/>
  <c r="P66" i="1"/>
  <c r="P60" i="1"/>
  <c r="P55" i="1"/>
  <c r="P50" i="1"/>
  <c r="P45" i="1"/>
  <c r="P40" i="1"/>
  <c r="P34" i="1"/>
  <c r="P29" i="1"/>
  <c r="P23" i="1"/>
  <c r="P18" i="1"/>
  <c r="P5" i="1"/>
  <c r="P12" i="1"/>
  <c r="P103" i="1"/>
  <c r="P97" i="1"/>
  <c r="P90" i="1"/>
  <c r="P85" i="1"/>
  <c r="P80" i="1"/>
  <c r="P75" i="1"/>
  <c r="P70" i="1"/>
  <c r="P64" i="1"/>
  <c r="P59" i="1"/>
  <c r="P54" i="1"/>
  <c r="P48" i="1"/>
  <c r="P43" i="1"/>
  <c r="P38" i="1"/>
  <c r="P33" i="1"/>
  <c r="P27" i="1"/>
  <c r="P22" i="1"/>
  <c r="P17" i="1"/>
  <c r="P4" i="1"/>
  <c r="P11" i="1"/>
  <c r="P7" i="1"/>
  <c r="S2" i="1"/>
  <c r="AI2" i="1" s="1"/>
  <c r="P2" i="1"/>
  <c r="T2" i="1" s="1"/>
  <c r="P62" i="1" l="1"/>
  <c r="Y102" i="1"/>
  <c r="Z102" i="1" l="1"/>
  <c r="AE89" i="1" l="1"/>
  <c r="AG89" i="1" s="1"/>
  <c r="T89" i="1"/>
  <c r="AE74" i="1"/>
  <c r="T74" i="1"/>
  <c r="AE63" i="1"/>
  <c r="AG63" i="1" s="1"/>
  <c r="T63" i="1"/>
  <c r="S52" i="1"/>
  <c r="AI52" i="1" s="1"/>
  <c r="AE52" i="1"/>
  <c r="T52" i="1"/>
  <c r="S47" i="1"/>
  <c r="AI47" i="1" s="1"/>
  <c r="AE47" i="1"/>
  <c r="AG47" i="1" s="1"/>
  <c r="T47" i="1"/>
  <c r="AE42" i="1"/>
  <c r="T42" i="1"/>
  <c r="AE37" i="1"/>
  <c r="AG37" i="1" s="1"/>
  <c r="T37" i="1"/>
  <c r="AE32" i="1"/>
  <c r="T32" i="1"/>
  <c r="AE26" i="1"/>
  <c r="T26" i="1"/>
  <c r="AE21" i="1"/>
  <c r="AG21" i="1" s="1"/>
  <c r="T21" i="1"/>
  <c r="AE16" i="1"/>
  <c r="T16" i="1"/>
  <c r="AE11" i="1"/>
  <c r="AG11" i="1" s="1"/>
  <c r="T11" i="1"/>
  <c r="AE5" i="1"/>
  <c r="T5" i="1"/>
  <c r="AE3" i="1"/>
  <c r="T3" i="1"/>
  <c r="AE100" i="1"/>
  <c r="T100" i="1"/>
  <c r="AE95" i="1"/>
  <c r="AG95" i="1" s="1"/>
  <c r="T95" i="1"/>
  <c r="AE88" i="1"/>
  <c r="T88" i="1"/>
  <c r="AE82" i="1"/>
  <c r="T82" i="1"/>
  <c r="AE77" i="1"/>
  <c r="AG77" i="1" s="1"/>
  <c r="T77" i="1"/>
  <c r="AE72" i="1"/>
  <c r="T72" i="1"/>
  <c r="AE67" i="1"/>
  <c r="AG67" i="1" s="1"/>
  <c r="T67" i="1"/>
  <c r="AE62" i="1"/>
  <c r="S62" i="1"/>
  <c r="AI62" i="1" s="1"/>
  <c r="T62" i="1"/>
  <c r="S56" i="1"/>
  <c r="AI56" i="1" s="1"/>
  <c r="AE56" i="1"/>
  <c r="T56" i="1"/>
  <c r="S51" i="1"/>
  <c r="AI51" i="1" s="1"/>
  <c r="AE51" i="1"/>
  <c r="AG51" i="1" s="1"/>
  <c r="T51" i="1"/>
  <c r="S46" i="1"/>
  <c r="AI46" i="1" s="1"/>
  <c r="AE46" i="1"/>
  <c r="T46" i="1"/>
  <c r="AE41" i="1"/>
  <c r="AG41" i="1" s="1"/>
  <c r="T41" i="1"/>
  <c r="AE35" i="1"/>
  <c r="AG35" i="1" s="1"/>
  <c r="T35" i="1"/>
  <c r="AE30" i="1"/>
  <c r="T30" i="1"/>
  <c r="AE25" i="1"/>
  <c r="AG25" i="1" s="1"/>
  <c r="T25" i="1"/>
  <c r="AE20" i="1"/>
  <c r="T20" i="1"/>
  <c r="AE10" i="1"/>
  <c r="T10" i="1"/>
  <c r="AE4" i="1"/>
  <c r="AG4" i="1" s="1"/>
  <c r="T4" i="1"/>
  <c r="AE97" i="1"/>
  <c r="AG97" i="1" s="1"/>
  <c r="T97" i="1"/>
  <c r="AE85" i="1"/>
  <c r="AG85" i="1" s="1"/>
  <c r="T85" i="1"/>
  <c r="AE75" i="1"/>
  <c r="AG75" i="1" s="1"/>
  <c r="T75" i="1"/>
  <c r="AE64" i="1"/>
  <c r="T64" i="1"/>
  <c r="AE54" i="1"/>
  <c r="T54" i="1"/>
  <c r="S48" i="1"/>
  <c r="AI48" i="1" s="1"/>
  <c r="AE48" i="1"/>
  <c r="T48" i="1"/>
  <c r="AE38" i="1"/>
  <c r="T38" i="1"/>
  <c r="AE33" i="1"/>
  <c r="AG33" i="1" s="1"/>
  <c r="T33" i="1"/>
  <c r="AE22" i="1"/>
  <c r="T22" i="1"/>
  <c r="AE17" i="1"/>
  <c r="AG17" i="1" s="1"/>
  <c r="T17" i="1"/>
  <c r="AE12" i="1"/>
  <c r="T12" i="1"/>
  <c r="AE7" i="1"/>
  <c r="T7" i="1"/>
  <c r="AE96" i="1"/>
  <c r="T96" i="1"/>
  <c r="AE84" i="1"/>
  <c r="T84" i="1"/>
  <c r="AE68" i="1"/>
  <c r="T68" i="1"/>
  <c r="AE87" i="1"/>
  <c r="AG87" i="1" s="1"/>
  <c r="T87" i="1"/>
  <c r="AE66" i="1"/>
  <c r="T66" i="1"/>
  <c r="S55" i="1"/>
  <c r="AI55" i="1" s="1"/>
  <c r="AE55" i="1"/>
  <c r="AG55" i="1" s="1"/>
  <c r="T55" i="1"/>
  <c r="AE45" i="1"/>
  <c r="AG45" i="1" s="1"/>
  <c r="T45" i="1"/>
  <c r="AE40" i="1"/>
  <c r="T40" i="1"/>
  <c r="AE34" i="1"/>
  <c r="T34" i="1"/>
  <c r="AE29" i="1"/>
  <c r="AG29" i="1" s="1"/>
  <c r="T29" i="1"/>
  <c r="AE23" i="1"/>
  <c r="AG23" i="1" s="1"/>
  <c r="T23" i="1"/>
  <c r="AE18" i="1"/>
  <c r="T18" i="1"/>
  <c r="AE13" i="1"/>
  <c r="AG13" i="1" s="1"/>
  <c r="T13" i="1"/>
  <c r="AE8" i="1"/>
  <c r="T8" i="1"/>
  <c r="AE103" i="1"/>
  <c r="AG103" i="1" s="1"/>
  <c r="T103" i="1"/>
  <c r="AE90" i="1"/>
  <c r="T90" i="1"/>
  <c r="AE80" i="1"/>
  <c r="T80" i="1"/>
  <c r="AE70" i="1"/>
  <c r="T70" i="1"/>
  <c r="S59" i="1"/>
  <c r="AI59" i="1" s="1"/>
  <c r="AE59" i="1"/>
  <c r="AG59" i="1" s="1"/>
  <c r="T59" i="1"/>
  <c r="AE43" i="1"/>
  <c r="AG43" i="1" s="1"/>
  <c r="T43" i="1"/>
  <c r="AE27" i="1"/>
  <c r="AG27" i="1" s="1"/>
  <c r="T27" i="1"/>
  <c r="AE102" i="1"/>
  <c r="AG102" i="1" s="1"/>
  <c r="T102" i="1"/>
  <c r="AE78" i="1"/>
  <c r="T78" i="1"/>
  <c r="S58" i="1"/>
  <c r="AI58" i="1" s="1"/>
  <c r="AE58" i="1"/>
  <c r="T58" i="1"/>
  <c r="AE104" i="1"/>
  <c r="T104" i="1"/>
  <c r="S99" i="1"/>
  <c r="AI99" i="1" s="1"/>
  <c r="AE99" i="1"/>
  <c r="AG99" i="1" s="1"/>
  <c r="T99" i="1"/>
  <c r="AE94" i="1"/>
  <c r="T94" i="1"/>
  <c r="AE81" i="1"/>
  <c r="AG81" i="1" s="1"/>
  <c r="T81" i="1"/>
  <c r="AE76" i="1"/>
  <c r="T76" i="1"/>
  <c r="AE71" i="1"/>
  <c r="AG71" i="1" s="1"/>
  <c r="T71" i="1"/>
  <c r="AE60" i="1"/>
  <c r="T60" i="1"/>
  <c r="AE50" i="1"/>
  <c r="T50" i="1"/>
  <c r="S33" i="1"/>
  <c r="AI33" i="1" s="1"/>
  <c r="S16" i="1"/>
  <c r="AI16" i="1" s="1"/>
  <c r="S87" i="1"/>
  <c r="AI87" i="1" s="1"/>
  <c r="S60" i="1"/>
  <c r="AI60" i="1" s="1"/>
  <c r="S90" i="1"/>
  <c r="AI90" i="1" s="1"/>
  <c r="S89" i="1"/>
  <c r="AI89" i="1" s="1"/>
  <c r="S88" i="1"/>
  <c r="AI88" i="1" s="1"/>
  <c r="S54" i="1"/>
  <c r="AI54" i="1" s="1"/>
  <c r="S38" i="1"/>
  <c r="AI38" i="1" s="1"/>
  <c r="S27" i="1"/>
  <c r="AI27" i="1" s="1"/>
  <c r="S22" i="1"/>
  <c r="AI22" i="1" s="1"/>
  <c r="S17" i="1"/>
  <c r="AI17" i="1" s="1"/>
  <c r="S12" i="1"/>
  <c r="AI12" i="1" s="1"/>
  <c r="S7" i="1"/>
  <c r="AI7" i="1" s="1"/>
  <c r="S3" i="1"/>
  <c r="AI3" i="1" s="1"/>
  <c r="S100" i="1"/>
  <c r="AI100" i="1" s="1"/>
  <c r="S95" i="1"/>
  <c r="AI95" i="1" s="1"/>
  <c r="S84" i="1"/>
  <c r="AI84" i="1" s="1"/>
  <c r="S78" i="1"/>
  <c r="AI78" i="1" s="1"/>
  <c r="S74" i="1"/>
  <c r="AI74" i="1" s="1"/>
  <c r="S68" i="1"/>
  <c r="AI68" i="1" s="1"/>
  <c r="S63" i="1"/>
  <c r="AI63" i="1" s="1"/>
  <c r="S42" i="1"/>
  <c r="AI42" i="1" s="1"/>
  <c r="S37" i="1"/>
  <c r="AI37" i="1" s="1"/>
  <c r="S32" i="1"/>
  <c r="AI32" i="1" s="1"/>
  <c r="S26" i="1"/>
  <c r="AI26" i="1" s="1"/>
  <c r="S21" i="1"/>
  <c r="AI21" i="1" s="1"/>
  <c r="S11" i="1"/>
  <c r="AI11" i="1" s="1"/>
  <c r="S5" i="1"/>
  <c r="AI5" i="1" s="1"/>
  <c r="S40" i="1"/>
  <c r="AI40" i="1" s="1"/>
  <c r="S102" i="1"/>
  <c r="AI102" i="1" s="1"/>
  <c r="S30" i="1"/>
  <c r="AI30" i="1" s="1"/>
  <c r="S81" i="1"/>
  <c r="AI81" i="1" s="1"/>
  <c r="S104" i="1"/>
  <c r="AI104" i="1" s="1"/>
  <c r="S94" i="1"/>
  <c r="AI94" i="1" s="1"/>
  <c r="S82" i="1"/>
  <c r="AI82" i="1" s="1"/>
  <c r="S77" i="1"/>
  <c r="AI77" i="1" s="1"/>
  <c r="S72" i="1"/>
  <c r="AI72" i="1" s="1"/>
  <c r="S67" i="1"/>
  <c r="AI67" i="1" s="1"/>
  <c r="S41" i="1"/>
  <c r="AI41" i="1" s="1"/>
  <c r="S35" i="1"/>
  <c r="AI35" i="1" s="1"/>
  <c r="S25" i="1"/>
  <c r="AI25" i="1" s="1"/>
  <c r="S20" i="1"/>
  <c r="AI20" i="1" s="1"/>
  <c r="S10" i="1"/>
  <c r="AI10" i="1" s="1"/>
  <c r="S4" i="1"/>
  <c r="AI4" i="1" s="1"/>
  <c r="S66" i="1"/>
  <c r="AI66" i="1" s="1"/>
  <c r="S45" i="1"/>
  <c r="AI45" i="1" s="1"/>
  <c r="S34" i="1"/>
  <c r="AI34" i="1" s="1"/>
  <c r="S29" i="1"/>
  <c r="AI29" i="1" s="1"/>
  <c r="S23" i="1"/>
  <c r="AI23" i="1" s="1"/>
  <c r="S18" i="1"/>
  <c r="AI18" i="1" s="1"/>
  <c r="S13" i="1"/>
  <c r="AI13" i="1" s="1"/>
  <c r="S8" i="1"/>
  <c r="AI8" i="1" s="1"/>
  <c r="S76" i="1"/>
  <c r="AI76" i="1" s="1"/>
  <c r="S97" i="1"/>
  <c r="AI97" i="1" s="1"/>
  <c r="S71" i="1"/>
  <c r="AI71" i="1" s="1"/>
  <c r="S64" i="1"/>
  <c r="AI64" i="1" s="1"/>
  <c r="S103" i="1"/>
  <c r="AI103" i="1" s="1"/>
  <c r="S50" i="1"/>
  <c r="AI50" i="1" s="1"/>
  <c r="S96" i="1"/>
  <c r="AI96" i="1" s="1"/>
  <c r="S85" i="1"/>
  <c r="AI85" i="1" s="1"/>
  <c r="S80" i="1"/>
  <c r="AI80" i="1" s="1"/>
  <c r="S75" i="1"/>
  <c r="AI75" i="1" s="1"/>
  <c r="S70" i="1"/>
  <c r="AI70" i="1" s="1"/>
  <c r="S43" i="1"/>
  <c r="AI43" i="1" s="1"/>
  <c r="Y100" i="1"/>
  <c r="Y99" i="1"/>
  <c r="Z99" i="1" s="1"/>
  <c r="Y104" i="1"/>
  <c r="Y103" i="1"/>
  <c r="Z103" i="1" s="1"/>
  <c r="Y97" i="1"/>
  <c r="Z97" i="1" s="1"/>
  <c r="Y96" i="1"/>
  <c r="Y95" i="1"/>
  <c r="Z95" i="1" s="1"/>
  <c r="Y94" i="1"/>
  <c r="Y90" i="1"/>
  <c r="Y91" i="1"/>
  <c r="Y89" i="1"/>
  <c r="Z89" i="1" s="1"/>
  <c r="Y88" i="1"/>
  <c r="Y87" i="1"/>
  <c r="Z87" i="1" s="1"/>
  <c r="Y85" i="1"/>
  <c r="Z85" i="1" s="1"/>
  <c r="Y84" i="1"/>
  <c r="Y82" i="1"/>
  <c r="Y81" i="1"/>
  <c r="Z81" i="1" s="1"/>
  <c r="Y80" i="1"/>
  <c r="Y78" i="1"/>
  <c r="Y77" i="1"/>
  <c r="Z77" i="1" s="1"/>
  <c r="Y76" i="1"/>
  <c r="Y75" i="1"/>
  <c r="Z75" i="1" s="1"/>
  <c r="Y74" i="1"/>
  <c r="Y72" i="1"/>
  <c r="Y71" i="1"/>
  <c r="Z71" i="1" s="1"/>
  <c r="Y70" i="1"/>
  <c r="Y68" i="1"/>
  <c r="Y67" i="1"/>
  <c r="Z67" i="1" s="1"/>
  <c r="Y66" i="1"/>
  <c r="Y64" i="1"/>
  <c r="Y63" i="1"/>
  <c r="Z63" i="1" s="1"/>
  <c r="Y62" i="1"/>
  <c r="Y60" i="1"/>
  <c r="Y59" i="1"/>
  <c r="Z59" i="1" s="1"/>
  <c r="Y58" i="1"/>
  <c r="Y56" i="1"/>
  <c r="Y55" i="1"/>
  <c r="Y54" i="1"/>
  <c r="Y52" i="1"/>
  <c r="Y51" i="1"/>
  <c r="Z51" i="1" s="1"/>
  <c r="Y50" i="1"/>
  <c r="Y48" i="1"/>
  <c r="Y47" i="1"/>
  <c r="Z47" i="1" s="1"/>
  <c r="Y46" i="1"/>
  <c r="Y45" i="1"/>
  <c r="Z45" i="1" s="1"/>
  <c r="Y43" i="1"/>
  <c r="Z43" i="1" s="1"/>
  <c r="Y42" i="1"/>
  <c r="Y41" i="1"/>
  <c r="Z41" i="1" s="1"/>
  <c r="Y40" i="1"/>
  <c r="Y38" i="1"/>
  <c r="Y37" i="1"/>
  <c r="Y35" i="1"/>
  <c r="Y34" i="1"/>
  <c r="Y33" i="1"/>
  <c r="Z33" i="1" s="1"/>
  <c r="Y32" i="1"/>
  <c r="Y30" i="1"/>
  <c r="Y29" i="1"/>
  <c r="Z29" i="1" s="1"/>
  <c r="Y27" i="1"/>
  <c r="Z27" i="1" s="1"/>
  <c r="Y26" i="1"/>
  <c r="Y25" i="1"/>
  <c r="Z25" i="1" s="1"/>
  <c r="Y23" i="1"/>
  <c r="Z23" i="1" s="1"/>
  <c r="Y22" i="1"/>
  <c r="Y21" i="1"/>
  <c r="Z21" i="1" s="1"/>
  <c r="Y20" i="1"/>
  <c r="Y16" i="1"/>
  <c r="Y17" i="1"/>
  <c r="Z17" i="1" s="1"/>
  <c r="Y18" i="1"/>
  <c r="AF78" i="1" l="1"/>
  <c r="AH78" i="1" s="1"/>
  <c r="AG78" i="1"/>
  <c r="AF7" i="1"/>
  <c r="AH7" i="1" s="1"/>
  <c r="AG7" i="1"/>
  <c r="AF22" i="1"/>
  <c r="AH22" i="1" s="1"/>
  <c r="AG22" i="1"/>
  <c r="AF18" i="1"/>
  <c r="AH18" i="1" s="1"/>
  <c r="AG18" i="1"/>
  <c r="AF54" i="1"/>
  <c r="AH54" i="1" s="1"/>
  <c r="AG54" i="1"/>
  <c r="AF64" i="1"/>
  <c r="AH64" i="1" s="1"/>
  <c r="AG64" i="1"/>
  <c r="AF30" i="1"/>
  <c r="AH30" i="1" s="1"/>
  <c r="AG30" i="1"/>
  <c r="AF62" i="1"/>
  <c r="AH62" i="1" s="1"/>
  <c r="AG62" i="1"/>
  <c r="AF82" i="1"/>
  <c r="AH82" i="1" s="1"/>
  <c r="AG82" i="1"/>
  <c r="AF42" i="1"/>
  <c r="AH42" i="1" s="1"/>
  <c r="AG42" i="1"/>
  <c r="AF94" i="1"/>
  <c r="AH94" i="1" s="1"/>
  <c r="AG94" i="1"/>
  <c r="AF66" i="1"/>
  <c r="AH66" i="1" s="1"/>
  <c r="AG66" i="1"/>
  <c r="AF52" i="1"/>
  <c r="AH52" i="1" s="1"/>
  <c r="AG52" i="1"/>
  <c r="AF46" i="1"/>
  <c r="AH46" i="1" s="1"/>
  <c r="AG46" i="1"/>
  <c r="AF16" i="1"/>
  <c r="AH16" i="1" s="1"/>
  <c r="AG16" i="1"/>
  <c r="AF76" i="1"/>
  <c r="AH76" i="1" s="1"/>
  <c r="AG76" i="1"/>
  <c r="AF68" i="1"/>
  <c r="AH68" i="1" s="1"/>
  <c r="AG68" i="1"/>
  <c r="AF12" i="1"/>
  <c r="AH12" i="1" s="1"/>
  <c r="AG12" i="1"/>
  <c r="AF38" i="1"/>
  <c r="AH38" i="1" s="1"/>
  <c r="AG38" i="1"/>
  <c r="AF96" i="1"/>
  <c r="AH96" i="1" s="1"/>
  <c r="AG96" i="1"/>
  <c r="AF104" i="1"/>
  <c r="AH104" i="1" s="1"/>
  <c r="AG104" i="1"/>
  <c r="AF70" i="1"/>
  <c r="AH70" i="1" s="1"/>
  <c r="AG70" i="1"/>
  <c r="AF8" i="1"/>
  <c r="AH8" i="1" s="1"/>
  <c r="AG8" i="1"/>
  <c r="AF10" i="1"/>
  <c r="AH10" i="1" s="1"/>
  <c r="AG10" i="1"/>
  <c r="AF88" i="1"/>
  <c r="AH88" i="1" s="1"/>
  <c r="AG88" i="1"/>
  <c r="AF5" i="1"/>
  <c r="AH5" i="1" s="1"/>
  <c r="AG5" i="1"/>
  <c r="AF26" i="1"/>
  <c r="AH26" i="1" s="1"/>
  <c r="AG26" i="1"/>
  <c r="AF74" i="1"/>
  <c r="AH74" i="1" s="1"/>
  <c r="AG74" i="1"/>
  <c r="AF40" i="1"/>
  <c r="AH40" i="1" s="1"/>
  <c r="AG40" i="1"/>
  <c r="AF50" i="1"/>
  <c r="AH50" i="1" s="1"/>
  <c r="AG50" i="1"/>
  <c r="AF84" i="1"/>
  <c r="AH84" i="1" s="1"/>
  <c r="AG84" i="1"/>
  <c r="AF48" i="1"/>
  <c r="AH48" i="1" s="1"/>
  <c r="AG48" i="1"/>
  <c r="AF60" i="1"/>
  <c r="AH60" i="1" s="1"/>
  <c r="AG60" i="1"/>
  <c r="AF90" i="1"/>
  <c r="AH90" i="1" s="1"/>
  <c r="AG90" i="1"/>
  <c r="AF100" i="1"/>
  <c r="AH100" i="1" s="1"/>
  <c r="AG100" i="1"/>
  <c r="AF58" i="1"/>
  <c r="AH58" i="1" s="1"/>
  <c r="AG58" i="1"/>
  <c r="AF80" i="1"/>
  <c r="AH80" i="1" s="1"/>
  <c r="AG80" i="1"/>
  <c r="AF34" i="1"/>
  <c r="AH34" i="1" s="1"/>
  <c r="AG34" i="1"/>
  <c r="AF20" i="1"/>
  <c r="AH20" i="1" s="1"/>
  <c r="AG20" i="1"/>
  <c r="AF56" i="1"/>
  <c r="AH56" i="1" s="1"/>
  <c r="AG56" i="1"/>
  <c r="AF72" i="1"/>
  <c r="AH72" i="1" s="1"/>
  <c r="AG72" i="1"/>
  <c r="AF32" i="1"/>
  <c r="AH32" i="1" s="1"/>
  <c r="AG32" i="1"/>
  <c r="AF3" i="1"/>
  <c r="AH3" i="1" s="1"/>
  <c r="AG3" i="1"/>
  <c r="AL38" i="1"/>
  <c r="Z35" i="1"/>
  <c r="Z37" i="1"/>
  <c r="AL37" i="1"/>
  <c r="Z26" i="1"/>
  <c r="AL58" i="1"/>
  <c r="Z58" i="1"/>
  <c r="AF27" i="1"/>
  <c r="AH27" i="1" s="1"/>
  <c r="Z80" i="1"/>
  <c r="AF55" i="1"/>
  <c r="AH55" i="1" s="1"/>
  <c r="AF97" i="1"/>
  <c r="AH97" i="1" s="1"/>
  <c r="AF71" i="1"/>
  <c r="AH71" i="1" s="1"/>
  <c r="AF43" i="1"/>
  <c r="AH43" i="1" s="1"/>
  <c r="Z30" i="1"/>
  <c r="Z72" i="1"/>
  <c r="AF41" i="1"/>
  <c r="AH41" i="1" s="1"/>
  <c r="AF95" i="1"/>
  <c r="AH95" i="1" s="1"/>
  <c r="AF21" i="1"/>
  <c r="AH21" i="1" s="1"/>
  <c r="AF63" i="1"/>
  <c r="AH63" i="1" s="1"/>
  <c r="Z32" i="1"/>
  <c r="Z42" i="1"/>
  <c r="AL52" i="1"/>
  <c r="Z52" i="1"/>
  <c r="Z74" i="1"/>
  <c r="Z84" i="1"/>
  <c r="AF59" i="1"/>
  <c r="AH59" i="1" s="1"/>
  <c r="AF67" i="1"/>
  <c r="AH67" i="1" s="1"/>
  <c r="Z16" i="1"/>
  <c r="Z60" i="1"/>
  <c r="Z90" i="1"/>
  <c r="Z20" i="1"/>
  <c r="Z62" i="1"/>
  <c r="AF13" i="1"/>
  <c r="AH13" i="1" s="1"/>
  <c r="AF103" i="1"/>
  <c r="AH103" i="1" s="1"/>
  <c r="AF75" i="1"/>
  <c r="AH75" i="1" s="1"/>
  <c r="AF4" i="1"/>
  <c r="AH4" i="1" s="1"/>
  <c r="AF25" i="1"/>
  <c r="AH25" i="1" s="1"/>
  <c r="AF77" i="1"/>
  <c r="AH77" i="1" s="1"/>
  <c r="AF47" i="1"/>
  <c r="AH47" i="1" s="1"/>
  <c r="Z18" i="1"/>
  <c r="Z68" i="1"/>
  <c r="Z78" i="1"/>
  <c r="Z104" i="1"/>
  <c r="AF51" i="1"/>
  <c r="AH51" i="1" s="1"/>
  <c r="AF29" i="1"/>
  <c r="AH29" i="1" s="1"/>
  <c r="AF35" i="1"/>
  <c r="AH35" i="1" s="1"/>
  <c r="AF37" i="1"/>
  <c r="AH37" i="1" s="1"/>
  <c r="Z50" i="1"/>
  <c r="Z100" i="1"/>
  <c r="Z82" i="1"/>
  <c r="Z22" i="1"/>
  <c r="Z64" i="1"/>
  <c r="Z96" i="1"/>
  <c r="AF81" i="1"/>
  <c r="AH81" i="1" s="1"/>
  <c r="AF102" i="1"/>
  <c r="AH102" i="1" s="1"/>
  <c r="AF87" i="1"/>
  <c r="AH87" i="1" s="1"/>
  <c r="AF17" i="1"/>
  <c r="AH17" i="1" s="1"/>
  <c r="Z38" i="1"/>
  <c r="AL48" i="1"/>
  <c r="Z48" i="1"/>
  <c r="Z70" i="1"/>
  <c r="Z91" i="1"/>
  <c r="Z40" i="1"/>
  <c r="AF99" i="1"/>
  <c r="AH99" i="1" s="1"/>
  <c r="AF33" i="1"/>
  <c r="AH33" i="1" s="1"/>
  <c r="Z94" i="1"/>
  <c r="Z54" i="1"/>
  <c r="Z34" i="1"/>
  <c r="AL55" i="1"/>
  <c r="Z55" i="1"/>
  <c r="Z66" i="1"/>
  <c r="AL66" i="1"/>
  <c r="Z76" i="1"/>
  <c r="AL46" i="1"/>
  <c r="Z46" i="1"/>
  <c r="AL56" i="1"/>
  <c r="Z56" i="1"/>
  <c r="Z88" i="1"/>
  <c r="AF23" i="1"/>
  <c r="AH23" i="1" s="1"/>
  <c r="AF45" i="1"/>
  <c r="AH45" i="1" s="1"/>
  <c r="AF85" i="1"/>
  <c r="AH85" i="1" s="1"/>
  <c r="AF11" i="1"/>
  <c r="AH11" i="1" s="1"/>
  <c r="AF89" i="1"/>
  <c r="AH89" i="1" s="1"/>
  <c r="AL95" i="1"/>
  <c r="AL22" i="1"/>
  <c r="AL20" i="1"/>
  <c r="AL74" i="1"/>
  <c r="AL102" i="1"/>
  <c r="AL81" i="1"/>
  <c r="AL89" i="1"/>
  <c r="AL77" i="1"/>
  <c r="AL68" i="1"/>
  <c r="AL62" i="1"/>
  <c r="AL29" i="1"/>
  <c r="AL40" i="1"/>
  <c r="AL50" i="1"/>
  <c r="AL71" i="1"/>
  <c r="AL32" i="1"/>
  <c r="AL104" i="1"/>
  <c r="AL87" i="1"/>
  <c r="AL88" i="1"/>
  <c r="AL17" i="1"/>
  <c r="AL91" i="1"/>
  <c r="AL16" i="1"/>
  <c r="AL70" i="1"/>
  <c r="AL60" i="1"/>
  <c r="AL41" i="1"/>
  <c r="AL82" i="1"/>
  <c r="AL100" i="1"/>
  <c r="AL34" i="1"/>
  <c r="AL25" i="1"/>
  <c r="AL67" i="1"/>
  <c r="AL78" i="1"/>
  <c r="AL35" i="1"/>
  <c r="AL80" i="1"/>
  <c r="AL103" i="1"/>
  <c r="AL99" i="1"/>
  <c r="AL72" i="1"/>
  <c r="AL94" i="1"/>
  <c r="AL84" i="1"/>
  <c r="AL43" i="1"/>
  <c r="AL75" i="1"/>
  <c r="AL59" i="1"/>
  <c r="AL18" i="1"/>
  <c r="AL26" i="1"/>
  <c r="AL47" i="1"/>
  <c r="AL30" i="1"/>
  <c r="AL51" i="1"/>
  <c r="AL21" i="1"/>
  <c r="AL42" i="1"/>
  <c r="AL63" i="1"/>
  <c r="AL33" i="1"/>
  <c r="AL54" i="1"/>
  <c r="AL64" i="1"/>
  <c r="AL23" i="1"/>
  <c r="AL45" i="1"/>
  <c r="AL85" i="1"/>
  <c r="AL96" i="1"/>
  <c r="AL76" i="1"/>
  <c r="AL97" i="1"/>
  <c r="Y11" i="1"/>
  <c r="Y12" i="1"/>
  <c r="Y13" i="1"/>
  <c r="AJ25" i="1" l="1"/>
  <c r="AK25" i="1" s="1"/>
  <c r="AJ85" i="1"/>
  <c r="AK85" i="1" s="1"/>
  <c r="AJ95" i="1"/>
  <c r="AK95" i="1" s="1"/>
  <c r="AJ91" i="1"/>
  <c r="AK91" i="1" s="1"/>
  <c r="AJ77" i="1"/>
  <c r="AK77" i="1" s="1"/>
  <c r="AJ70" i="1"/>
  <c r="AK70" i="1" s="1"/>
  <c r="AJ37" i="1"/>
  <c r="AK37" i="1" s="1"/>
  <c r="AJ100" i="1"/>
  <c r="AK100" i="1" s="1"/>
  <c r="AJ35" i="1"/>
  <c r="AK35" i="1" s="1"/>
  <c r="AJ51" i="1"/>
  <c r="AK51" i="1" s="1"/>
  <c r="AL27" i="1"/>
  <c r="AI28" i="1"/>
  <c r="AJ38" i="1"/>
  <c r="AK38" i="1" s="1"/>
  <c r="AJ64" i="1"/>
  <c r="AK64" i="1" s="1"/>
  <c r="AJ62" i="1"/>
  <c r="AK62" i="1" s="1"/>
  <c r="AJ55" i="1"/>
  <c r="AK55" i="1" s="1"/>
  <c r="AJ47" i="1"/>
  <c r="AK47" i="1" s="1"/>
  <c r="AL90" i="1"/>
  <c r="AI92" i="1"/>
  <c r="AJ74" i="1"/>
  <c r="AK74" i="1" s="1"/>
  <c r="AJ59" i="1"/>
  <c r="AK59" i="1" s="1"/>
  <c r="AJ17" i="1"/>
  <c r="AK17" i="1" s="1"/>
  <c r="AJ34" i="1"/>
  <c r="AK34" i="1" s="1"/>
  <c r="AJ60" i="1"/>
  <c r="AK60" i="1" s="1"/>
  <c r="AJ23" i="1"/>
  <c r="AK23" i="1" s="1"/>
  <c r="AJ33" i="1"/>
  <c r="AK33" i="1" s="1"/>
  <c r="AJ41" i="1"/>
  <c r="AK41" i="1" s="1"/>
  <c r="AJ27" i="1"/>
  <c r="AL11" i="1"/>
  <c r="Z11" i="1"/>
  <c r="AJ11" i="1" s="1"/>
  <c r="AK11" i="1" s="1"/>
  <c r="AJ89" i="1"/>
  <c r="AK89" i="1" s="1"/>
  <c r="AJ56" i="1"/>
  <c r="AK56" i="1" s="1"/>
  <c r="AJ81" i="1"/>
  <c r="AK81" i="1" s="1"/>
  <c r="AJ16" i="1"/>
  <c r="AK16" i="1" s="1"/>
  <c r="AJ21" i="1"/>
  <c r="AK21" i="1" s="1"/>
  <c r="AJ43" i="1"/>
  <c r="AK43" i="1" s="1"/>
  <c r="AL13" i="1"/>
  <c r="Z13" i="1"/>
  <c r="AJ96" i="1"/>
  <c r="AK96" i="1" s="1"/>
  <c r="AL12" i="1"/>
  <c r="Z12" i="1"/>
  <c r="AJ66" i="1"/>
  <c r="AK66" i="1" s="1"/>
  <c r="AJ54" i="1"/>
  <c r="AK54" i="1" s="1"/>
  <c r="AJ99" i="1"/>
  <c r="AK99" i="1" s="1"/>
  <c r="AJ68" i="1"/>
  <c r="AK68" i="1" s="1"/>
  <c r="AJ84" i="1"/>
  <c r="AK84" i="1" s="1"/>
  <c r="AJ42" i="1"/>
  <c r="AK42" i="1" s="1"/>
  <c r="AJ80" i="1"/>
  <c r="AK80" i="1" s="1"/>
  <c r="AJ58" i="1"/>
  <c r="AK58" i="1" s="1"/>
  <c r="AJ97" i="1"/>
  <c r="AK97" i="1" s="1"/>
  <c r="AJ76" i="1"/>
  <c r="AK76" i="1" s="1"/>
  <c r="AJ82" i="1"/>
  <c r="AK82" i="1" s="1"/>
  <c r="AJ40" i="1"/>
  <c r="AK40" i="1" s="1"/>
  <c r="AJ48" i="1"/>
  <c r="AK48" i="1" s="1"/>
  <c r="AJ22" i="1"/>
  <c r="AK22" i="1" s="1"/>
  <c r="AJ18" i="1"/>
  <c r="AK18" i="1" s="1"/>
  <c r="AJ75" i="1"/>
  <c r="AK75" i="1" s="1"/>
  <c r="AJ20" i="1"/>
  <c r="AK20" i="1" s="1"/>
  <c r="AJ32" i="1"/>
  <c r="AK32" i="1" s="1"/>
  <c r="AJ72" i="1"/>
  <c r="AK72" i="1" s="1"/>
  <c r="AJ71" i="1"/>
  <c r="AK71" i="1" s="1"/>
  <c r="AJ46" i="1"/>
  <c r="AK46" i="1" s="1"/>
  <c r="AJ87" i="1"/>
  <c r="AK87" i="1" s="1"/>
  <c r="AJ50" i="1"/>
  <c r="AK50" i="1" s="1"/>
  <c r="AJ104" i="1"/>
  <c r="AK104" i="1" s="1"/>
  <c r="AJ90" i="1"/>
  <c r="AJ30" i="1"/>
  <c r="AK30" i="1" s="1"/>
  <c r="AJ26" i="1"/>
  <c r="AK26" i="1" s="1"/>
  <c r="AJ78" i="1"/>
  <c r="AK78" i="1" s="1"/>
  <c r="AJ45" i="1"/>
  <c r="AK45" i="1" s="1"/>
  <c r="AJ88" i="1"/>
  <c r="AK88" i="1" s="1"/>
  <c r="AJ94" i="1"/>
  <c r="AK94" i="1" s="1"/>
  <c r="AJ102" i="1"/>
  <c r="AK102" i="1" s="1"/>
  <c r="AJ29" i="1"/>
  <c r="AK29" i="1" s="1"/>
  <c r="AJ103" i="1"/>
  <c r="AK103" i="1" s="1"/>
  <c r="AJ67" i="1"/>
  <c r="AK67" i="1" s="1"/>
  <c r="AJ52" i="1"/>
  <c r="AK52" i="1" s="1"/>
  <c r="AJ63" i="1"/>
  <c r="AK63" i="1" s="1"/>
  <c r="Y3" i="1"/>
  <c r="Y4" i="1"/>
  <c r="Y5" i="1"/>
  <c r="Y7" i="1"/>
  <c r="Y8" i="1"/>
  <c r="Y10" i="1"/>
  <c r="AJ13" i="1" l="1"/>
  <c r="AK13" i="1" s="1"/>
  <c r="AJ28" i="1"/>
  <c r="AK28" i="1" s="1"/>
  <c r="AK27" i="1"/>
  <c r="AJ12" i="1"/>
  <c r="AK12" i="1" s="1"/>
  <c r="AJ92" i="1"/>
  <c r="AK92" i="1" s="1"/>
  <c r="AK90" i="1"/>
  <c r="Z3" i="1"/>
  <c r="Z10" i="1"/>
  <c r="Z8" i="1"/>
  <c r="Z7" i="1"/>
  <c r="Z5" i="1"/>
  <c r="Z4" i="1"/>
  <c r="AL10" i="1"/>
  <c r="AL8" i="1"/>
  <c r="AL3" i="1"/>
  <c r="AL7" i="1"/>
  <c r="AL5" i="1"/>
  <c r="AL4" i="1"/>
  <c r="AJ7" i="1" l="1"/>
  <c r="AK7" i="1" s="1"/>
  <c r="AJ8" i="1"/>
  <c r="AK8" i="1" s="1"/>
  <c r="AJ4" i="1"/>
  <c r="AK4" i="1" s="1"/>
  <c r="AJ10" i="1"/>
  <c r="AK10" i="1" s="1"/>
  <c r="AL2" i="1"/>
  <c r="AJ5" i="1"/>
  <c r="AK5" i="1" s="1"/>
  <c r="AJ3" i="1"/>
  <c r="AK3" i="1" s="1"/>
  <c r="Z2" i="1"/>
  <c r="AJ2" i="1" l="1"/>
  <c r="AK2" i="1" s="1"/>
</calcChain>
</file>

<file path=xl/sharedStrings.xml><?xml version="1.0" encoding="utf-8"?>
<sst xmlns="http://schemas.openxmlformats.org/spreadsheetml/2006/main" count="186" uniqueCount="171">
  <si>
    <t>Sample</t>
  </si>
  <si>
    <t>Lat</t>
  </si>
  <si>
    <t>Long</t>
  </si>
  <si>
    <t>Elevation</t>
  </si>
  <si>
    <t>3Hetot</t>
  </si>
  <si>
    <t>4Hetot</t>
  </si>
  <si>
    <t>3Henuc</t>
  </si>
  <si>
    <t>3Hecos</t>
  </si>
  <si>
    <t>R factor</t>
  </si>
  <si>
    <t>SC-PD001</t>
  </si>
  <si>
    <t>SC-PD002</t>
  </si>
  <si>
    <t>SC-PD003</t>
  </si>
  <si>
    <t>SC-PD093</t>
  </si>
  <si>
    <t>WP-PD008</t>
  </si>
  <si>
    <t>WP-PD007</t>
  </si>
  <si>
    <t>BR-PD014</t>
  </si>
  <si>
    <t>BR-PD016</t>
  </si>
  <si>
    <t>BR-PD017</t>
  </si>
  <si>
    <t>BR-PD018</t>
  </si>
  <si>
    <t>GR-PD023</t>
  </si>
  <si>
    <t>GR-PD024</t>
  </si>
  <si>
    <t>GR-PD025</t>
  </si>
  <si>
    <t>RT-PD027</t>
  </si>
  <si>
    <t>RT-PD028</t>
  </si>
  <si>
    <t>RT-PD029</t>
  </si>
  <si>
    <t>RT-PD030</t>
  </si>
  <si>
    <t>RT-PD047</t>
  </si>
  <si>
    <t>RT-PD048</t>
  </si>
  <si>
    <t>RT-PD045</t>
  </si>
  <si>
    <t>NR-PD053</t>
  </si>
  <si>
    <t>NR-PD054</t>
  </si>
  <si>
    <t>NR-PD055</t>
  </si>
  <si>
    <t>NR-PD057</t>
  </si>
  <si>
    <t>MA-PD058</t>
  </si>
  <si>
    <t>MA-PD059</t>
  </si>
  <si>
    <t>MF-PD061</t>
  </si>
  <si>
    <t>MF-PD063</t>
  </si>
  <si>
    <t>MF-PD064</t>
  </si>
  <si>
    <t>MF-PD065</t>
  </si>
  <si>
    <t>TC-PD066</t>
  </si>
  <si>
    <t>TC-PD067</t>
  </si>
  <si>
    <t>TC-PD070</t>
  </si>
  <si>
    <t>TC-PD068</t>
  </si>
  <si>
    <t>WT-PD073</t>
  </si>
  <si>
    <t>WT-PD074</t>
  </si>
  <si>
    <t>WT-PD075</t>
  </si>
  <si>
    <t>PR-PD083</t>
  </si>
  <si>
    <t>PR-PD084</t>
  </si>
  <si>
    <t>PR-PD085</t>
  </si>
  <si>
    <t>TFa-PD088</t>
  </si>
  <si>
    <t>TFa-PD090</t>
  </si>
  <si>
    <t>TFa-PD091</t>
  </si>
  <si>
    <t>TSa-PD205</t>
  </si>
  <si>
    <t>TSa-PD206</t>
  </si>
  <si>
    <t>TSa-PD207</t>
  </si>
  <si>
    <t>TSb-PD209</t>
  </si>
  <si>
    <t>TSb-PD210</t>
  </si>
  <si>
    <t>TSb-PD211</t>
  </si>
  <si>
    <t>TFt-PD212</t>
  </si>
  <si>
    <t>TFt-PD213</t>
  </si>
  <si>
    <t>TFt-PD214</t>
  </si>
  <si>
    <t>MN-PD217</t>
  </si>
  <si>
    <t>MN-PD218</t>
  </si>
  <si>
    <t>MN-PD219</t>
  </si>
  <si>
    <t>MN-PD220</t>
  </si>
  <si>
    <t>MN-PD221</t>
  </si>
  <si>
    <t>MS-PD222</t>
  </si>
  <si>
    <t>MS-PD223</t>
  </si>
  <si>
    <t>MS-PD224</t>
  </si>
  <si>
    <t>Cta-PD229</t>
  </si>
  <si>
    <t>Cta-PD230</t>
  </si>
  <si>
    <t>CTb-PD231</t>
  </si>
  <si>
    <t>CTb-PD232</t>
  </si>
  <si>
    <t>CTb-PD233</t>
  </si>
  <si>
    <t>LC-PD254</t>
  </si>
  <si>
    <t>LC-PD255</t>
  </si>
  <si>
    <t>LC-PD256</t>
  </si>
  <si>
    <t>LC-PD257</t>
  </si>
  <si>
    <t>WG-PD325</t>
  </si>
  <si>
    <t>WG-PD326</t>
  </si>
  <si>
    <t>DC-PD327</t>
  </si>
  <si>
    <t>DC-PD329</t>
  </si>
  <si>
    <t>DC-PD330</t>
  </si>
  <si>
    <t>He closure age for 3Henuc (Ma)</t>
  </si>
  <si>
    <t>Pnuc</t>
  </si>
  <si>
    <t>Shielding factor</t>
  </si>
  <si>
    <t>P3 (at/g/y)</t>
  </si>
  <si>
    <t>P4 (at/g/y)</t>
  </si>
  <si>
    <t>Thickness (cm)</t>
  </si>
  <si>
    <t>Density (g/cm3)</t>
  </si>
  <si>
    <t>3/4HeMAG</t>
  </si>
  <si>
    <t>Scaling factor (Lal-Stone corrected)</t>
  </si>
  <si>
    <t>RT-PD046-a</t>
  </si>
  <si>
    <t>RT-PD046-b</t>
  </si>
  <si>
    <t>CTb-PD234-a</t>
  </si>
  <si>
    <t>CTb-PD234-b</t>
  </si>
  <si>
    <t>CTb-PD234-M</t>
  </si>
  <si>
    <t>RT-PD046-M</t>
  </si>
  <si>
    <t>Rf 1σ</t>
  </si>
  <si>
    <t>1sigma P4/P3</t>
  </si>
  <si>
    <t>P4/P3</t>
  </si>
  <si>
    <t>H</t>
  </si>
  <si>
    <t>1sigma3Henuc</t>
  </si>
  <si>
    <t>1sigmaH</t>
  </si>
  <si>
    <t>3Hecos/3Hetot</t>
  </si>
  <si>
    <t>Surface dip</t>
  </si>
  <si>
    <t>Dip direction</t>
  </si>
  <si>
    <t>P3 1σ</t>
  </si>
  <si>
    <t>P4 1σ</t>
  </si>
  <si>
    <t>HeMAG 1σ</t>
  </si>
  <si>
    <t>3Hetot 1σ</t>
  </si>
  <si>
    <t>4Hetot 1σ</t>
  </si>
  <si>
    <t>3Hecos 1σ</t>
  </si>
  <si>
    <t>3Hecos 2σ</t>
  </si>
  <si>
    <t>4He*(3/4HeMag)</t>
  </si>
  <si>
    <t>1sig 4He*(3/4HeMag)</t>
  </si>
  <si>
    <t>GR-PD022</t>
  </si>
  <si>
    <t>Value</t>
  </si>
  <si>
    <t>Calculation</t>
  </si>
  <si>
    <t>Column</t>
  </si>
  <si>
    <t>Error column</t>
  </si>
  <si>
    <t>Error calculation</t>
  </si>
  <si>
    <t>P3</t>
  </si>
  <si>
    <t>Mean production rate  * scaling factor</t>
  </si>
  <si>
    <t>Mean production rate error * scaling factor</t>
  </si>
  <si>
    <t>P4</t>
  </si>
  <si>
    <t>From spreadsheet</t>
  </si>
  <si>
    <t>K</t>
  </si>
  <si>
    <t>L</t>
  </si>
  <si>
    <t>Considered 10% error</t>
  </si>
  <si>
    <t>M</t>
  </si>
  <si>
    <t>N</t>
  </si>
  <si>
    <r>
      <t>P4/P3 * sqrt( (</t>
    </r>
    <r>
      <rPr>
        <sz val="11"/>
        <color theme="1"/>
        <rFont val="Calibri"/>
        <family val="2"/>
      </rPr>
      <t>σP4/P4)^2 + (σP3/P3)^2 )</t>
    </r>
  </si>
  <si>
    <t>From bibliography</t>
  </si>
  <si>
    <t>O</t>
  </si>
  <si>
    <t>P</t>
  </si>
  <si>
    <t>Considered 20% error</t>
  </si>
  <si>
    <t>1 - (P4/P3)*(3/4HeMAG)</t>
  </si>
  <si>
    <t>Q</t>
  </si>
  <si>
    <t>R</t>
  </si>
  <si>
    <t>R factor * sqrt ( (σ(P4/P3)/(P4/P3))^2 + (σ(3/4HeMAG)/(3/4HeMAG))^2 )</t>
  </si>
  <si>
    <t>Measured</t>
  </si>
  <si>
    <t>S</t>
  </si>
  <si>
    <t>T</t>
  </si>
  <si>
    <t>Y</t>
  </si>
  <si>
    <t>Z</t>
  </si>
  <si>
    <t>4Hetot * 3/4HeMAG</t>
  </si>
  <si>
    <t>AA</t>
  </si>
  <si>
    <t>AB</t>
  </si>
  <si>
    <t>4Hetot * 3/4HeMAG * sqrt ( (σ4Hetot/4Hetot)^2+((σ 3/4HeMAG)/(3/4HeMAG))^2 )</t>
  </si>
  <si>
    <t>AC</t>
  </si>
  <si>
    <t>AD</t>
  </si>
  <si>
    <t>Hecos</t>
  </si>
  <si>
    <t>H/R</t>
  </si>
  <si>
    <t>AE</t>
  </si>
  <si>
    <t>AF</t>
  </si>
  <si>
    <t>H/R * sqrt ( (σH/H)^2 + (σR/R)^2 )</t>
  </si>
  <si>
    <t>U</t>
  </si>
  <si>
    <t>V</t>
  </si>
  <si>
    <t>3Hetot - 4HexM</t>
  </si>
  <si>
    <t>AG</t>
  </si>
  <si>
    <t>AH</t>
  </si>
  <si>
    <t>sqrt (σHetot^2 + σ4HexM^2)</t>
  </si>
  <si>
    <t xml:space="preserve">Total 3He/4He </t>
  </si>
  <si>
    <t>AI</t>
  </si>
  <si>
    <t>AJ</t>
  </si>
  <si>
    <t>1s 3He/4He</t>
  </si>
  <si>
    <t>Total 3He/4He (Ra)</t>
  </si>
  <si>
    <t>3Hetot/4Hetot * sqrt ( (σ3Hetot/3Hetot)^2 + (σ4Hetot/4Hetot)^2 )</t>
  </si>
  <si>
    <t>Below detection limit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</si>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</sst>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5F8CED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2" fontId="7" fillId="0" borderId="0" xfId="0" applyNumberFormat="1" applyFont="1"/>
    <xf numFmtId="11" fontId="6" fillId="0" borderId="0" xfId="0" applyNumberFormat="1" applyFont="1"/>
    <xf numFmtId="164" fontId="6" fillId="0" borderId="0" xfId="0" applyNumberFormat="1" applyFont="1"/>
    <xf numFmtId="0" fontId="8" fillId="0" borderId="0" xfId="0" applyFont="1"/>
    <xf numFmtId="0" fontId="9" fillId="0" borderId="0" xfId="0" applyFont="1"/>
    <xf numFmtId="11" fontId="9" fillId="0" borderId="0" xfId="0" applyNumberFormat="1" applyFont="1"/>
    <xf numFmtId="0" fontId="10" fillId="0" borderId="0" xfId="0" applyFont="1"/>
    <xf numFmtId="165" fontId="6" fillId="0" borderId="0" xfId="0" applyNumberFormat="1" applyFont="1"/>
    <xf numFmtId="166" fontId="6" fillId="0" borderId="0" xfId="0" applyNumberFormat="1" applyFont="1"/>
    <xf numFmtId="1" fontId="6" fillId="0" borderId="0" xfId="0" applyNumberFormat="1" applyFont="1"/>
    <xf numFmtId="2" fontId="6" fillId="0" borderId="0" xfId="0" applyNumberFormat="1" applyFont="1"/>
    <xf numFmtId="11" fontId="7" fillId="0" borderId="0" xfId="0" applyNumberFormat="1" applyFont="1"/>
    <xf numFmtId="167" fontId="6" fillId="0" borderId="0" xfId="1" applyNumberFormat="1" applyFont="1"/>
    <xf numFmtId="164" fontId="8" fillId="0" borderId="0" xfId="0" applyNumberFormat="1" applyFont="1"/>
    <xf numFmtId="0" fontId="7" fillId="0" borderId="0" xfId="0" applyFont="1"/>
    <xf numFmtId="164" fontId="9" fillId="0" borderId="0" xfId="0" applyNumberFormat="1" applyFont="1"/>
    <xf numFmtId="1" fontId="8" fillId="0" borderId="0" xfId="0" applyNumberFormat="1" applyFont="1"/>
    <xf numFmtId="11" fontId="9" fillId="0" borderId="0" xfId="0" applyNumberFormat="1" applyFont="1" applyAlignment="1">
      <alignment vertical="center" wrapText="1"/>
    </xf>
    <xf numFmtId="11" fontId="6" fillId="0" borderId="0" xfId="0" applyNumberFormat="1" applyFont="1" applyAlignment="1">
      <alignment vertical="center" wrapText="1"/>
    </xf>
    <xf numFmtId="9" fontId="6" fillId="0" borderId="0" xfId="1" applyFont="1"/>
    <xf numFmtId="9" fontId="9" fillId="0" borderId="0" xfId="1" applyFont="1"/>
    <xf numFmtId="0" fontId="0" fillId="0" borderId="0" xfId="0" applyAlignment="1">
      <alignment horizontal="center"/>
    </xf>
  </cellXfs>
  <cellStyles count="5">
    <cellStyle name="Normal" xfId="0" builtinId="0"/>
    <cellStyle name="Normal 2" xfId="4" xr:uid="{71E156DA-A5BF-4941-BE10-C38EA2232ED6}"/>
    <cellStyle name="Normal 3" xfId="2" xr:uid="{1863C681-5A52-43C5-ABEF-3E9B55C46947}"/>
    <cellStyle name="Percent" xfId="1" builtinId="5"/>
    <cellStyle name="Percent 2" xfId="3" xr:uid="{833F0C96-E5B5-4A42-955E-2F5C9A0D09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D02D3-9C6C-4611-AB53-E412DC791FC9}">
  <dimension ref="A1:AO120"/>
  <sheetViews>
    <sheetView tabSelected="1" zoomScaleNormal="100" workbookViewId="0">
      <pane xSplit="4" ySplit="1" topLeftCell="O2" activePane="bottomRight" state="frozen"/>
      <selection pane="topRight" activeCell="E1" sqref="E1"/>
      <selection pane="bottomLeft" activeCell="A4" sqref="A4"/>
      <selection pane="bottomRight" activeCell="AI99" sqref="AI99:AJ104"/>
    </sheetView>
  </sheetViews>
  <sheetFormatPr defaultRowHeight="14.5" x14ac:dyDescent="0.35"/>
  <cols>
    <col min="1" max="1" width="12.26953125" style="3" customWidth="1"/>
    <col min="2" max="5" width="8.81640625" style="3" bestFit="1" customWidth="1"/>
    <col min="6" max="6" width="12.54296875" style="3" bestFit="1" customWidth="1"/>
    <col min="7" max="7" width="6.81640625" style="3" customWidth="1"/>
    <col min="8" max="8" width="8.81640625" style="3" bestFit="1" customWidth="1"/>
    <col min="9" max="10" width="8.1796875" style="3" customWidth="1"/>
    <col min="11" max="11" width="9.81640625" style="18" bestFit="1" customWidth="1"/>
    <col min="12" max="12" width="10.26953125" style="18" customWidth="1"/>
    <col min="13" max="15" width="9.81640625" style="3" customWidth="1"/>
    <col min="16" max="16" width="12.453125" style="3" bestFit="1" customWidth="1"/>
    <col min="17" max="17" width="10.453125" style="3" customWidth="1"/>
    <col min="18" max="18" width="9.1796875" style="3" customWidth="1"/>
    <col min="19" max="19" width="9.453125" style="3" customWidth="1"/>
    <col min="20" max="20" width="8.54296875" style="7" customWidth="1"/>
    <col min="21" max="21" width="10.81640625" style="8" bestFit="1" customWidth="1"/>
    <col min="22" max="22" width="10.54296875" style="3" bestFit="1" customWidth="1"/>
    <col min="23" max="23" width="10.54296875" style="3" customWidth="1"/>
    <col min="24" max="24" width="11.54296875" style="3" customWidth="1"/>
    <col min="25" max="25" width="9.26953125" style="3" bestFit="1" customWidth="1"/>
    <col min="26" max="26" width="9.54296875" style="3" bestFit="1" customWidth="1"/>
    <col min="27" max="27" width="10.81640625" style="8" bestFit="1" customWidth="1"/>
    <col min="28" max="28" width="10.54296875" style="3" bestFit="1" customWidth="1"/>
    <col min="29" max="29" width="17.26953125" style="3" customWidth="1"/>
    <col min="30" max="34" width="10.54296875" style="3" customWidth="1"/>
    <col min="35" max="35" width="9.54296875" style="9" bestFit="1" customWidth="1"/>
    <col min="36" max="37" width="9.54296875" style="3" bestFit="1" customWidth="1"/>
    <col min="38" max="38" width="11.7265625" style="3" customWidth="1"/>
    <col min="39" max="39" width="8.81640625" customWidth="1"/>
    <col min="40" max="41" width="10.81640625" bestFit="1" customWidth="1"/>
  </cols>
  <sheetData>
    <row r="1" spans="1:41" s="1" customFormat="1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105</v>
      </c>
      <c r="F1" s="8" t="s">
        <v>106</v>
      </c>
      <c r="G1" s="8" t="s">
        <v>85</v>
      </c>
      <c r="H1" s="8" t="s">
        <v>89</v>
      </c>
      <c r="I1" s="8" t="s">
        <v>88</v>
      </c>
      <c r="J1" s="8" t="s">
        <v>91</v>
      </c>
      <c r="K1" s="10" t="s">
        <v>86</v>
      </c>
      <c r="L1" s="10" t="s">
        <v>107</v>
      </c>
      <c r="M1" s="8" t="s">
        <v>87</v>
      </c>
      <c r="N1" s="10" t="s">
        <v>108</v>
      </c>
      <c r="O1" s="10" t="s">
        <v>100</v>
      </c>
      <c r="P1" s="10" t="s">
        <v>99</v>
      </c>
      <c r="Q1" s="8" t="s">
        <v>90</v>
      </c>
      <c r="R1" s="8" t="s">
        <v>109</v>
      </c>
      <c r="S1" s="8" t="s">
        <v>8</v>
      </c>
      <c r="T1" s="8" t="s">
        <v>98</v>
      </c>
      <c r="U1" s="8" t="s">
        <v>4</v>
      </c>
      <c r="V1" s="8" t="s">
        <v>110</v>
      </c>
      <c r="W1" s="8" t="s">
        <v>84</v>
      </c>
      <c r="X1" s="8" t="s">
        <v>83</v>
      </c>
      <c r="Y1" s="8" t="s">
        <v>6</v>
      </c>
      <c r="Z1" s="8" t="s">
        <v>102</v>
      </c>
      <c r="AA1" s="8" t="s">
        <v>5</v>
      </c>
      <c r="AB1" s="8" t="s">
        <v>111</v>
      </c>
      <c r="AC1" s="8" t="s">
        <v>167</v>
      </c>
      <c r="AD1" s="8" t="s">
        <v>166</v>
      </c>
      <c r="AE1" s="8" t="s">
        <v>114</v>
      </c>
      <c r="AF1" s="8" t="s">
        <v>115</v>
      </c>
      <c r="AG1" s="8" t="s">
        <v>101</v>
      </c>
      <c r="AH1" s="8" t="s">
        <v>103</v>
      </c>
      <c r="AI1" s="9" t="s">
        <v>7</v>
      </c>
      <c r="AJ1" s="8" t="s">
        <v>112</v>
      </c>
      <c r="AK1" s="8" t="s">
        <v>113</v>
      </c>
      <c r="AL1" s="8" t="s">
        <v>104</v>
      </c>
    </row>
    <row r="2" spans="1:41" x14ac:dyDescent="0.35">
      <c r="A2" s="8" t="s">
        <v>9</v>
      </c>
      <c r="B2" s="6">
        <v>39.214344259999997</v>
      </c>
      <c r="C2" s="6">
        <v>175.60105229999999</v>
      </c>
      <c r="D2" s="12">
        <v>1438.963</v>
      </c>
      <c r="E2" s="13"/>
      <c r="F2" s="13"/>
      <c r="G2" s="6">
        <v>0.99814899999999995</v>
      </c>
      <c r="H2" s="14">
        <v>1.8909090909090909</v>
      </c>
      <c r="I2" s="14">
        <v>3.6098064519999999</v>
      </c>
      <c r="J2" s="3">
        <v>2.83</v>
      </c>
      <c r="K2" s="4">
        <f>122.28*$J2</f>
        <v>346.05240000000003</v>
      </c>
      <c r="L2" s="4">
        <f>12.35*$J2</f>
        <v>34.950499999999998</v>
      </c>
      <c r="M2" s="5">
        <v>312821.7429262856</v>
      </c>
      <c r="N2" s="5">
        <f>M2*0.1</f>
        <v>31282.174292628562</v>
      </c>
      <c r="O2" s="5">
        <f>M2/K2</f>
        <v>903.97218145658167</v>
      </c>
      <c r="P2" s="5">
        <f>O2*SQRT((N2/M2)^2+(L2/K2)^2)</f>
        <v>128.48029589012012</v>
      </c>
      <c r="Q2" s="5">
        <f>0.0000059</f>
        <v>5.9000000000000003E-6</v>
      </c>
      <c r="R2" s="5">
        <f>0.0000026</f>
        <v>2.6000000000000001E-6</v>
      </c>
      <c r="S2" s="6">
        <f>1-O2*Q2</f>
        <v>0.99466656412940613</v>
      </c>
      <c r="T2" s="6">
        <f>(O2*Q2)*SQRT((P2/O2)^2+(R2/Q2)^2)</f>
        <v>2.4695455704373216E-3</v>
      </c>
      <c r="U2" s="9">
        <v>3850000</v>
      </c>
      <c r="V2" s="5">
        <v>278000</v>
      </c>
      <c r="W2" s="5">
        <v>4.0577704602485706E-2</v>
      </c>
      <c r="X2" s="11">
        <v>0.01</v>
      </c>
      <c r="Y2" s="3">
        <f>W2*X2*1000000</f>
        <v>405.77704602485704</v>
      </c>
      <c r="Z2" s="5">
        <f>Y2*0.1</f>
        <v>40.57770460248571</v>
      </c>
      <c r="AA2" s="9">
        <v>51400000000</v>
      </c>
      <c r="AB2" s="5">
        <v>1150000000</v>
      </c>
      <c r="AC2" s="13">
        <f>U2/AA2/0.00000139</f>
        <v>53.8868516082076</v>
      </c>
      <c r="AD2" s="13">
        <f>AC2*SQRT((V2/U2)^2+(AB2/AA2)^2)</f>
        <v>4.0735539364380573</v>
      </c>
      <c r="AE2" s="5">
        <f>AA2*Q2</f>
        <v>303260</v>
      </c>
      <c r="AF2" s="5">
        <f>AE2*SQRT((AB2/AA2)^2+(R2/Q2)^2)</f>
        <v>133812.12884114802</v>
      </c>
      <c r="AG2" s="5">
        <f>U2-AE2</f>
        <v>3546740</v>
      </c>
      <c r="AH2" s="5">
        <f>SQRT(V2^2+AF2^2)</f>
        <v>308528.25774149114</v>
      </c>
      <c r="AI2" s="9">
        <f>((U2)-(AA2*Q2))/S2</f>
        <v>3565757.7402376309</v>
      </c>
      <c r="AJ2" s="15">
        <f>AG2/S2*SQRT((AH2/AG2)^2+(T2/S2)^2)</f>
        <v>310308.90938814753</v>
      </c>
      <c r="AK2" s="15">
        <f>2*AJ2</f>
        <v>620617.81877629505</v>
      </c>
      <c r="AL2" s="16">
        <f>AI2/U2</f>
        <v>0.92617084162016383</v>
      </c>
      <c r="AO2" s="15"/>
    </row>
    <row r="3" spans="1:41" x14ac:dyDescent="0.35">
      <c r="A3" s="8" t="s">
        <v>10</v>
      </c>
      <c r="B3" s="6">
        <v>39.214335980000001</v>
      </c>
      <c r="C3" s="6">
        <v>175.60095290000001</v>
      </c>
      <c r="D3" s="12">
        <v>1439.33</v>
      </c>
      <c r="E3" s="13"/>
      <c r="F3" s="13"/>
      <c r="G3" s="6">
        <v>0.99814899999999995</v>
      </c>
      <c r="H3" s="14">
        <v>2.010416666666667</v>
      </c>
      <c r="I3" s="14">
        <v>3.1703563859999999</v>
      </c>
      <c r="J3" s="3">
        <v>2.82</v>
      </c>
      <c r="K3" s="4">
        <f t="shared" ref="K3:K66" si="0">122.28*$J3</f>
        <v>344.82959999999997</v>
      </c>
      <c r="L3" s="4">
        <f t="shared" ref="L3:L66" si="1">12.35*$J3</f>
        <v>34.826999999999998</v>
      </c>
      <c r="M3" s="5">
        <v>312821.7429262856</v>
      </c>
      <c r="N3" s="5">
        <f t="shared" ref="N3:N13" si="2">M3*0.1</f>
        <v>31282.174292628562</v>
      </c>
      <c r="O3" s="5">
        <f>M3/K3</f>
        <v>907.17775656813001</v>
      </c>
      <c r="P3" s="5">
        <f>O3*SQRT((N3/M3)^2+(L3/K3)^2)</f>
        <v>128.93589977625533</v>
      </c>
      <c r="Q3" s="5">
        <f>0.0000059</f>
        <v>5.9000000000000003E-6</v>
      </c>
      <c r="R3" s="5">
        <f t="shared" ref="R3:R66" si="3">0.0000026</f>
        <v>2.6000000000000001E-6</v>
      </c>
      <c r="S3" s="6">
        <f>1-M3/K3*Q3</f>
        <v>0.99464765123624799</v>
      </c>
      <c r="T3" s="6">
        <f t="shared" ref="T3:T66" si="4">(O3*Q3)*SQRT((P3/O3)^2+(R3/Q3)^2)</f>
        <v>2.4783028242331986E-3</v>
      </c>
      <c r="U3" s="9">
        <v>3590000</v>
      </c>
      <c r="V3" s="5">
        <v>261000</v>
      </c>
      <c r="W3" s="5">
        <v>4.0577704602485706E-2</v>
      </c>
      <c r="X3" s="11">
        <v>0.01</v>
      </c>
      <c r="Y3" s="3">
        <f t="shared" ref="Y3:Y67" si="5">W3*X3*1000000</f>
        <v>405.77704602485704</v>
      </c>
      <c r="Z3" s="5">
        <f t="shared" ref="Z3:Z64" si="6">Y3*0.1</f>
        <v>40.57770460248571</v>
      </c>
      <c r="AA3" s="9">
        <v>30300000000</v>
      </c>
      <c r="AB3" s="5">
        <v>765000000</v>
      </c>
      <c r="AC3" s="13">
        <f t="shared" ref="AC3:AC66" si="7">U3/AA3/0.00000139</f>
        <v>85.238739701308262</v>
      </c>
      <c r="AD3" s="13">
        <f t="shared" ref="AD3:AD66" si="8">AC3*SQRT((V3/U3)^2+(AB3/AA3)^2)</f>
        <v>6.5600672289860604</v>
      </c>
      <c r="AE3" s="5">
        <f t="shared" ref="AE3:AE64" si="9">AA3*Q3</f>
        <v>178770</v>
      </c>
      <c r="AF3" s="5">
        <f t="shared" ref="AF3:AF64" si="10">AE3*SQRT((AB3/AA3)^2+(R3/Q3)^2)</f>
        <v>78909.188832796906</v>
      </c>
      <c r="AG3" s="5">
        <f t="shared" ref="AG3:AG5" si="11">U3-AE3</f>
        <v>3411230</v>
      </c>
      <c r="AH3" s="5">
        <f t="shared" ref="AH3:AH5" si="12">SQRT(V3^2+AF3^2)</f>
        <v>272667.67333560099</v>
      </c>
      <c r="AI3" s="9">
        <f t="shared" ref="AI3:AI13" si="13">((U3)-(AA3*Q3))/S3</f>
        <v>3429586.3422189564</v>
      </c>
      <c r="AJ3" s="15">
        <f t="shared" ref="AJ3:AJ64" si="14">AG3/S3*SQRT((AH3/AG3)^2+(T3/S3)^2)</f>
        <v>274268.09302721405</v>
      </c>
      <c r="AK3" s="15">
        <f t="shared" ref="AK3:AK64" si="15">2*AJ3</f>
        <v>548536.18605442811</v>
      </c>
      <c r="AL3" s="16">
        <f>AI3/U3</f>
        <v>0.95531652986600457</v>
      </c>
    </row>
    <row r="4" spans="1:41" x14ac:dyDescent="0.35">
      <c r="A4" s="8" t="s">
        <v>11</v>
      </c>
      <c r="B4" s="6">
        <v>39.214577349999999</v>
      </c>
      <c r="C4" s="6">
        <v>175.59974650000001</v>
      </c>
      <c r="D4" s="12">
        <v>1443.298</v>
      </c>
      <c r="E4" s="13"/>
      <c r="F4" s="13"/>
      <c r="G4" s="6">
        <v>0.99814899999999995</v>
      </c>
      <c r="H4" s="14">
        <v>2.0106382978723403</v>
      </c>
      <c r="I4" s="14">
        <v>2.3534524600000002</v>
      </c>
      <c r="J4" s="3">
        <v>2.82</v>
      </c>
      <c r="K4" s="4">
        <f t="shared" si="0"/>
        <v>344.82959999999997</v>
      </c>
      <c r="L4" s="4">
        <f t="shared" si="1"/>
        <v>34.826999999999998</v>
      </c>
      <c r="M4" s="5">
        <v>312821.7429262856</v>
      </c>
      <c r="N4" s="5">
        <f t="shared" si="2"/>
        <v>31282.174292628562</v>
      </c>
      <c r="O4" s="5">
        <f>M4/K4</f>
        <v>907.17775656813001</v>
      </c>
      <c r="P4" s="5">
        <f>O4*SQRT((N4/M4)^2+(L4/K4)^2)</f>
        <v>128.93589977625533</v>
      </c>
      <c r="Q4" s="5">
        <f>0.0000059</f>
        <v>5.9000000000000003E-6</v>
      </c>
      <c r="R4" s="5">
        <f t="shared" si="3"/>
        <v>2.6000000000000001E-6</v>
      </c>
      <c r="S4" s="6">
        <f>1-M4/K4*Q4</f>
        <v>0.99464765123624799</v>
      </c>
      <c r="T4" s="6">
        <f t="shared" si="4"/>
        <v>2.4783028242331986E-3</v>
      </c>
      <c r="U4" s="9">
        <v>3450000</v>
      </c>
      <c r="V4" s="5">
        <v>246000</v>
      </c>
      <c r="W4" s="5">
        <v>4.0577704602485706E-2</v>
      </c>
      <c r="X4" s="11">
        <v>0.01</v>
      </c>
      <c r="Y4" s="3">
        <f t="shared" si="5"/>
        <v>405.77704602485704</v>
      </c>
      <c r="Z4" s="5">
        <f t="shared" si="6"/>
        <v>40.57770460248571</v>
      </c>
      <c r="AA4" s="9">
        <v>39100000000</v>
      </c>
      <c r="AB4" s="5">
        <v>854000000</v>
      </c>
      <c r="AC4" s="13">
        <f t="shared" si="7"/>
        <v>63.478628861616592</v>
      </c>
      <c r="AD4" s="13">
        <f t="shared" si="8"/>
        <v>4.7338879147060027</v>
      </c>
      <c r="AE4" s="5">
        <f t="shared" si="9"/>
        <v>230690</v>
      </c>
      <c r="AF4" s="5">
        <f t="shared" si="10"/>
        <v>101784.78810686793</v>
      </c>
      <c r="AG4" s="5">
        <f t="shared" si="11"/>
        <v>3219310</v>
      </c>
      <c r="AH4" s="5">
        <f t="shared" si="12"/>
        <v>266225.73709158925</v>
      </c>
      <c r="AI4" s="9">
        <f t="shared" si="13"/>
        <v>3236633.5918038092</v>
      </c>
      <c r="AJ4" s="15">
        <f t="shared" si="14"/>
        <v>267779.80198084854</v>
      </c>
      <c r="AK4" s="15">
        <f t="shared" si="15"/>
        <v>535559.60396169708</v>
      </c>
      <c r="AL4" s="16">
        <f>AI4/U4</f>
        <v>0.93815466429095917</v>
      </c>
    </row>
    <row r="5" spans="1:41" x14ac:dyDescent="0.35">
      <c r="A5" s="8" t="s">
        <v>12</v>
      </c>
      <c r="B5" s="6">
        <v>39.211537739999997</v>
      </c>
      <c r="C5" s="6">
        <v>175.61392989999999</v>
      </c>
      <c r="D5" s="12">
        <v>1308.18</v>
      </c>
      <c r="E5" s="13">
        <v>17</v>
      </c>
      <c r="F5" s="13">
        <v>40</v>
      </c>
      <c r="G5" s="6">
        <v>0.99256699999999998</v>
      </c>
      <c r="H5" s="14">
        <v>2.2999999999999998</v>
      </c>
      <c r="I5" s="14">
        <v>2.5929413019999998</v>
      </c>
      <c r="J5" s="3">
        <v>2.56</v>
      </c>
      <c r="K5" s="4">
        <f t="shared" si="0"/>
        <v>313.03680000000003</v>
      </c>
      <c r="L5" s="4">
        <f t="shared" si="1"/>
        <v>31.616</v>
      </c>
      <c r="M5" s="5">
        <v>371385.72731823724</v>
      </c>
      <c r="N5" s="5">
        <f t="shared" si="2"/>
        <v>37138.572731823726</v>
      </c>
      <c r="O5" s="5">
        <f>M5/K5</f>
        <v>1186.3963831672097</v>
      </c>
      <c r="P5" s="5">
        <f>O5*SQRT((N5/M5)^2+(L5/K5)^2)</f>
        <v>168.62085081720255</v>
      </c>
      <c r="Q5" s="5">
        <f>0.0000059</f>
        <v>5.9000000000000003E-6</v>
      </c>
      <c r="R5" s="5">
        <f t="shared" si="3"/>
        <v>2.6000000000000001E-6</v>
      </c>
      <c r="S5" s="6">
        <f>1-M5/K5*Q5</f>
        <v>0.99300026133931352</v>
      </c>
      <c r="T5" s="6">
        <f t="shared" si="4"/>
        <v>3.2410952382544802E-3</v>
      </c>
      <c r="U5" s="9">
        <v>2970000</v>
      </c>
      <c r="V5" s="5">
        <v>218000</v>
      </c>
      <c r="W5" s="5">
        <v>5.3707565722077008E-2</v>
      </c>
      <c r="X5" s="11">
        <v>0.01</v>
      </c>
      <c r="Y5" s="3">
        <f t="shared" si="5"/>
        <v>537.07565722077015</v>
      </c>
      <c r="Z5" s="5">
        <f t="shared" si="6"/>
        <v>53.707565722077021</v>
      </c>
      <c r="AA5" s="9">
        <v>9160000000</v>
      </c>
      <c r="AB5" s="5">
        <v>499000000</v>
      </c>
      <c r="AC5" s="13">
        <f t="shared" si="7"/>
        <v>233.26317112249063</v>
      </c>
      <c r="AD5" s="13">
        <f t="shared" si="8"/>
        <v>21.321952878909652</v>
      </c>
      <c r="AE5" s="5">
        <f t="shared" si="9"/>
        <v>54044</v>
      </c>
      <c r="AF5" s="5">
        <f t="shared" si="10"/>
        <v>23997.282779723209</v>
      </c>
      <c r="AG5" s="5">
        <f t="shared" si="11"/>
        <v>2915956</v>
      </c>
      <c r="AH5" s="5">
        <f t="shared" si="12"/>
        <v>219316.82466425141</v>
      </c>
      <c r="AI5" s="9">
        <f t="shared" si="13"/>
        <v>2936510.8082319046</v>
      </c>
      <c r="AJ5" s="15">
        <f t="shared" si="14"/>
        <v>221070.67627642702</v>
      </c>
      <c r="AK5" s="15">
        <f t="shared" si="15"/>
        <v>442141.35255285405</v>
      </c>
      <c r="AL5" s="16">
        <f>AI5/U5</f>
        <v>0.9887241778558602</v>
      </c>
    </row>
    <row r="6" spans="1:41" x14ac:dyDescent="0.35">
      <c r="A6" s="8"/>
      <c r="B6" s="6"/>
      <c r="C6" s="6"/>
      <c r="D6" s="12"/>
      <c r="E6" s="13"/>
      <c r="F6" s="13"/>
      <c r="G6" s="6"/>
      <c r="H6" s="14"/>
      <c r="I6" s="14"/>
      <c r="K6" s="4"/>
      <c r="L6" s="4"/>
      <c r="M6" s="5"/>
      <c r="N6" s="5"/>
      <c r="O6" s="5"/>
      <c r="P6" s="5"/>
      <c r="Q6" s="5"/>
      <c r="R6" s="5"/>
      <c r="S6" s="6"/>
      <c r="T6" s="17"/>
      <c r="U6" s="9"/>
      <c r="V6" s="5"/>
      <c r="W6" s="5"/>
      <c r="X6" s="2"/>
      <c r="Z6" s="5"/>
      <c r="AA6" s="9"/>
      <c r="AB6" s="5"/>
      <c r="AC6" s="13"/>
      <c r="AD6" s="13"/>
      <c r="AE6" s="5"/>
      <c r="AF6" s="5"/>
      <c r="AG6" s="5"/>
      <c r="AH6" s="5"/>
      <c r="AI6" s="15"/>
      <c r="AJ6" s="15"/>
      <c r="AK6" s="15"/>
      <c r="AL6" s="16"/>
    </row>
    <row r="7" spans="1:41" x14ac:dyDescent="0.35">
      <c r="A7" s="8" t="s">
        <v>14</v>
      </c>
      <c r="B7" s="6">
        <v>39.247893179999998</v>
      </c>
      <c r="C7" s="6">
        <v>175.58817519999999</v>
      </c>
      <c r="D7" s="12">
        <v>1911.7339999999999</v>
      </c>
      <c r="E7" s="13">
        <v>10</v>
      </c>
      <c r="F7" s="13">
        <v>190</v>
      </c>
      <c r="G7" s="6">
        <v>0.996085</v>
      </c>
      <c r="H7" s="14">
        <v>2.1325301204819276</v>
      </c>
      <c r="I7" s="14">
        <v>3.2475000000000001</v>
      </c>
      <c r="J7" s="3">
        <v>4.0199999999999996</v>
      </c>
      <c r="K7" s="4">
        <f t="shared" si="0"/>
        <v>491.56559999999996</v>
      </c>
      <c r="L7" s="4">
        <f t="shared" si="1"/>
        <v>49.646999999999991</v>
      </c>
      <c r="M7" s="5">
        <v>608460.6206680747</v>
      </c>
      <c r="N7" s="5">
        <f t="shared" si="2"/>
        <v>60846.06206680747</v>
      </c>
      <c r="O7" s="5">
        <f>M7/K7</f>
        <v>1237.8014667179207</v>
      </c>
      <c r="P7" s="5">
        <f>O7*SQRT((N7/M7)^2+(L7/K7)^2)</f>
        <v>175.92698310792167</v>
      </c>
      <c r="Q7" s="5">
        <f t="shared" ref="Q6:Q69" si="16">0.0000059</f>
        <v>5.9000000000000003E-6</v>
      </c>
      <c r="R7" s="5">
        <f t="shared" si="3"/>
        <v>2.6000000000000001E-6</v>
      </c>
      <c r="S7" s="6">
        <f>1-M7/K7*Q7</f>
        <v>0.99269697134636425</v>
      </c>
      <c r="T7" s="6">
        <f t="shared" si="4"/>
        <v>3.3815278743297042E-3</v>
      </c>
      <c r="U7" s="9">
        <v>5630000</v>
      </c>
      <c r="V7" s="5">
        <v>227000</v>
      </c>
      <c r="W7" s="5">
        <v>4.1449661073395816E-2</v>
      </c>
      <c r="X7" s="11">
        <v>0.01</v>
      </c>
      <c r="Y7" s="3">
        <f t="shared" si="5"/>
        <v>414.49661073395816</v>
      </c>
      <c r="Z7" s="5">
        <f t="shared" si="6"/>
        <v>41.449661073395816</v>
      </c>
      <c r="AA7" s="9">
        <v>20600000000</v>
      </c>
      <c r="AB7" s="5">
        <v>742000000</v>
      </c>
      <c r="AC7" s="13">
        <f t="shared" si="7"/>
        <v>196.61940350632113</v>
      </c>
      <c r="AD7" s="13">
        <f t="shared" si="8"/>
        <v>10.630325683651243</v>
      </c>
      <c r="AE7" s="5">
        <f t="shared" si="9"/>
        <v>121540</v>
      </c>
      <c r="AF7" s="5">
        <f t="shared" si="10"/>
        <v>53738.614913672645</v>
      </c>
      <c r="AG7" s="5">
        <f t="shared" ref="AG7:AG70" si="17">U7-AE7</f>
        <v>5508460</v>
      </c>
      <c r="AH7" s="5">
        <f t="shared" ref="AH7:AH70" si="18">SQRT(V7^2+AF7^2)</f>
        <v>233274.17073658196</v>
      </c>
      <c r="AI7" s="9">
        <f t="shared" si="13"/>
        <v>5548984.392013452</v>
      </c>
      <c r="AJ7" s="15">
        <f t="shared" si="14"/>
        <v>235749.30652491894</v>
      </c>
      <c r="AK7" s="15">
        <f t="shared" si="15"/>
        <v>471498.61304983788</v>
      </c>
      <c r="AL7" s="16">
        <f>AI7/U7</f>
        <v>0.98561001634341949</v>
      </c>
    </row>
    <row r="8" spans="1:41" x14ac:dyDescent="0.35">
      <c r="A8" s="8" t="s">
        <v>13</v>
      </c>
      <c r="B8" s="6">
        <v>39.247922320000001</v>
      </c>
      <c r="C8" s="6">
        <v>175.58819869999999</v>
      </c>
      <c r="D8" s="12">
        <v>1912.058</v>
      </c>
      <c r="E8" s="13">
        <v>18</v>
      </c>
      <c r="F8" s="13">
        <v>30</v>
      </c>
      <c r="G8" s="6">
        <v>0.99522200000000005</v>
      </c>
      <c r="H8" s="14">
        <v>2.0622837370242215</v>
      </c>
      <c r="I8" s="14">
        <v>3.0229444440000002</v>
      </c>
      <c r="J8" s="3">
        <v>3.99</v>
      </c>
      <c r="K8" s="4">
        <f t="shared" si="0"/>
        <v>487.89720000000005</v>
      </c>
      <c r="L8" s="4">
        <f t="shared" si="1"/>
        <v>49.276499999999999</v>
      </c>
      <c r="M8" s="5">
        <v>608460.6206680747</v>
      </c>
      <c r="N8" s="5">
        <f t="shared" si="2"/>
        <v>60846.06206680747</v>
      </c>
      <c r="O8" s="5">
        <f>M8/K8</f>
        <v>1247.1082446631681</v>
      </c>
      <c r="P8" s="5">
        <f>O8*SQRT((N8/M8)^2+(L8/K8)^2)</f>
        <v>177.24974237940975</v>
      </c>
      <c r="Q8" s="5">
        <f t="shared" si="16"/>
        <v>5.9000000000000003E-6</v>
      </c>
      <c r="R8" s="5">
        <f t="shared" si="3"/>
        <v>2.6000000000000001E-6</v>
      </c>
      <c r="S8" s="6">
        <f>1-M8/K8*Q8</f>
        <v>0.99264206135648736</v>
      </c>
      <c r="T8" s="6">
        <f t="shared" si="4"/>
        <v>3.4069528959412058E-3</v>
      </c>
      <c r="U8" s="9">
        <v>5220000</v>
      </c>
      <c r="V8" s="5">
        <v>222000</v>
      </c>
      <c r="W8" s="5">
        <v>4.1449661073395816E-2</v>
      </c>
      <c r="X8" s="11">
        <v>0.01</v>
      </c>
      <c r="Y8" s="3">
        <f t="shared" si="5"/>
        <v>414.49661073395816</v>
      </c>
      <c r="Z8" s="5">
        <f t="shared" si="6"/>
        <v>41.449661073395816</v>
      </c>
      <c r="AA8" s="9">
        <v>19400000000</v>
      </c>
      <c r="AB8" s="5">
        <v>342000000</v>
      </c>
      <c r="AC8" s="13">
        <f t="shared" si="7"/>
        <v>193.57709708521844</v>
      </c>
      <c r="AD8" s="13">
        <f t="shared" si="8"/>
        <v>8.9118452662391121</v>
      </c>
      <c r="AE8" s="5">
        <f t="shared" si="9"/>
        <v>114460</v>
      </c>
      <c r="AF8" s="5">
        <f t="shared" si="10"/>
        <v>50480.343866102972</v>
      </c>
      <c r="AG8" s="5">
        <f t="shared" si="17"/>
        <v>5105540</v>
      </c>
      <c r="AH8" s="5">
        <f t="shared" si="18"/>
        <v>227667.00489275999</v>
      </c>
      <c r="AI8" s="9">
        <f t="shared" si="13"/>
        <v>5143384.7091096099</v>
      </c>
      <c r="AJ8" s="15">
        <f t="shared" si="14"/>
        <v>230032.95041492771</v>
      </c>
      <c r="AK8" s="15">
        <f t="shared" si="15"/>
        <v>460065.90082985541</v>
      </c>
      <c r="AL8" s="16">
        <f>AI8/U8</f>
        <v>0.98532274120873753</v>
      </c>
    </row>
    <row r="9" spans="1:41" x14ac:dyDescent="0.35">
      <c r="B9" s="6"/>
      <c r="C9" s="6"/>
      <c r="D9" s="12"/>
      <c r="E9" s="13"/>
      <c r="F9" s="13"/>
      <c r="Q9" s="5"/>
      <c r="R9" s="5"/>
      <c r="AC9" s="13"/>
      <c r="AD9" s="13"/>
      <c r="AG9" s="5"/>
      <c r="AH9" s="5"/>
    </row>
    <row r="10" spans="1:41" x14ac:dyDescent="0.35">
      <c r="A10" s="8" t="s">
        <v>15</v>
      </c>
      <c r="B10" s="6">
        <v>39.22005695</v>
      </c>
      <c r="C10" s="6">
        <v>175.5405145</v>
      </c>
      <c r="D10" s="12">
        <v>1360.021</v>
      </c>
      <c r="E10" s="13"/>
      <c r="F10" s="13"/>
      <c r="G10" s="6">
        <v>0.99920299999999995</v>
      </c>
      <c r="H10" s="14">
        <v>2.1538461538461537</v>
      </c>
      <c r="I10" s="14">
        <v>2.7298</v>
      </c>
      <c r="J10" s="3">
        <v>2.6</v>
      </c>
      <c r="K10" s="4">
        <f t="shared" si="0"/>
        <v>317.928</v>
      </c>
      <c r="L10" s="4">
        <f t="shared" si="1"/>
        <v>32.11</v>
      </c>
      <c r="M10" s="5">
        <v>75434.548820177326</v>
      </c>
      <c r="N10" s="5">
        <f t="shared" si="2"/>
        <v>7543.4548820177333</v>
      </c>
      <c r="O10" s="5">
        <f>M10/K10</f>
        <v>237.26928367484879</v>
      </c>
      <c r="P10" s="5">
        <f>O10*SQRT((N10/M10)^2+(L10/K10)^2)</f>
        <v>33.72274987827776</v>
      </c>
      <c r="Q10" s="5">
        <f t="shared" si="16"/>
        <v>5.9000000000000003E-6</v>
      </c>
      <c r="R10" s="5">
        <f t="shared" si="3"/>
        <v>2.6000000000000001E-6</v>
      </c>
      <c r="S10" s="6">
        <f>1-M10/K10*Q10</f>
        <v>0.99860011122631842</v>
      </c>
      <c r="T10" s="6">
        <f>(O10*Q10)*SQRT((P10/O10)^2+(R10/Q10)^2)</f>
        <v>6.4819174806454195E-4</v>
      </c>
      <c r="U10" s="9">
        <v>2330000</v>
      </c>
      <c r="V10" s="5">
        <v>124000</v>
      </c>
      <c r="W10" s="5">
        <v>5.6476591034701269E-2</v>
      </c>
      <c r="X10" s="11">
        <v>0.01</v>
      </c>
      <c r="Y10" s="3">
        <f t="shared" si="5"/>
        <v>564.76591034701266</v>
      </c>
      <c r="Z10" s="5">
        <f t="shared" si="6"/>
        <v>56.476591034701272</v>
      </c>
      <c r="AA10" s="9">
        <v>6060000000</v>
      </c>
      <c r="AB10" s="5">
        <v>482000000</v>
      </c>
      <c r="AC10" s="13">
        <f t="shared" si="7"/>
        <v>276.61039485243487</v>
      </c>
      <c r="AD10" s="13">
        <f t="shared" si="8"/>
        <v>26.471680863004213</v>
      </c>
      <c r="AE10" s="5">
        <f t="shared" si="9"/>
        <v>35754</v>
      </c>
      <c r="AF10" s="5">
        <f t="shared" si="10"/>
        <v>16010.581951946657</v>
      </c>
      <c r="AG10" s="5">
        <f t="shared" si="17"/>
        <v>2294246</v>
      </c>
      <c r="AH10" s="5">
        <f t="shared" si="18"/>
        <v>125029.35149171973</v>
      </c>
      <c r="AI10" s="9">
        <f t="shared" si="13"/>
        <v>2297462.1915298807</v>
      </c>
      <c r="AJ10" s="15">
        <f t="shared" si="14"/>
        <v>125213.50489383811</v>
      </c>
      <c r="AK10" s="15">
        <f t="shared" si="15"/>
        <v>250427.00978767622</v>
      </c>
      <c r="AL10" s="16">
        <f>AI10/U10</f>
        <v>0.9860352753347128</v>
      </c>
    </row>
    <row r="11" spans="1:41" x14ac:dyDescent="0.35">
      <c r="A11" s="8" t="s">
        <v>16</v>
      </c>
      <c r="B11" s="6">
        <v>39.219770920000002</v>
      </c>
      <c r="C11" s="6">
        <v>175.53791150000001</v>
      </c>
      <c r="D11" s="12">
        <v>1359.231</v>
      </c>
      <c r="E11" s="13">
        <v>28</v>
      </c>
      <c r="F11" s="13">
        <v>55</v>
      </c>
      <c r="G11" s="6">
        <v>0.981487</v>
      </c>
      <c r="H11" s="14">
        <v>2.3218390804597702</v>
      </c>
      <c r="I11" s="14">
        <v>2.6326666670000001</v>
      </c>
      <c r="J11" s="3">
        <v>2.62</v>
      </c>
      <c r="K11" s="4">
        <f t="shared" si="0"/>
        <v>320.37360000000001</v>
      </c>
      <c r="L11" s="4">
        <f t="shared" si="1"/>
        <v>32.356999999999999</v>
      </c>
      <c r="M11" s="5">
        <v>75434.548820177326</v>
      </c>
      <c r="N11" s="5">
        <f t="shared" si="2"/>
        <v>7543.4548820177333</v>
      </c>
      <c r="O11" s="5">
        <f>M11/K11</f>
        <v>235.45806776893392</v>
      </c>
      <c r="P11" s="5">
        <f>O11*SQRT((N11/M11)^2+(L11/K11)^2)</f>
        <v>33.465324306687855</v>
      </c>
      <c r="Q11" s="5">
        <f t="shared" si="16"/>
        <v>5.9000000000000003E-6</v>
      </c>
      <c r="R11" s="5">
        <f t="shared" si="3"/>
        <v>2.6000000000000001E-6</v>
      </c>
      <c r="S11" s="6">
        <f>1-M11/K11*Q11</f>
        <v>0.99861079740016334</v>
      </c>
      <c r="T11" s="6">
        <f t="shared" si="4"/>
        <v>6.4324371945336239E-4</v>
      </c>
      <c r="U11" s="9">
        <v>2570000</v>
      </c>
      <c r="V11" s="5">
        <v>135000</v>
      </c>
      <c r="W11" s="5">
        <v>5.6476591034701269E-2</v>
      </c>
      <c r="X11" s="11">
        <v>0.01</v>
      </c>
      <c r="Y11" s="3">
        <f t="shared" si="5"/>
        <v>564.76591034701266</v>
      </c>
      <c r="Z11" s="5">
        <f t="shared" si="6"/>
        <v>56.476591034701272</v>
      </c>
      <c r="AA11" s="9">
        <v>14500000000</v>
      </c>
      <c r="AB11" s="5">
        <v>617000000</v>
      </c>
      <c r="AC11" s="13">
        <f t="shared" si="7"/>
        <v>127.51178367650706</v>
      </c>
      <c r="AD11" s="13">
        <f t="shared" si="8"/>
        <v>8.6199892389172561</v>
      </c>
      <c r="AE11" s="5">
        <f t="shared" si="9"/>
        <v>85550</v>
      </c>
      <c r="AF11" s="5">
        <f t="shared" si="10"/>
        <v>37875.34533294713</v>
      </c>
      <c r="AG11" s="5">
        <f t="shared" si="17"/>
        <v>2484450</v>
      </c>
      <c r="AH11" s="5">
        <f t="shared" si="18"/>
        <v>140212.48797482342</v>
      </c>
      <c r="AI11" s="9">
        <f t="shared" si="13"/>
        <v>2487906.2057692045</v>
      </c>
      <c r="AJ11" s="15">
        <f t="shared" si="14"/>
        <v>140416.68767296773</v>
      </c>
      <c r="AK11" s="15">
        <f t="shared" si="15"/>
        <v>280833.37534593546</v>
      </c>
      <c r="AL11" s="16">
        <f>AI11/U11</f>
        <v>0.96805688940435974</v>
      </c>
    </row>
    <row r="12" spans="1:41" x14ac:dyDescent="0.35">
      <c r="A12" s="8" t="s">
        <v>17</v>
      </c>
      <c r="B12" s="6">
        <v>39.218973830000003</v>
      </c>
      <c r="C12" s="6">
        <v>175.54092209999999</v>
      </c>
      <c r="D12" s="12">
        <v>1332.59</v>
      </c>
      <c r="E12" s="13"/>
      <c r="F12" s="13"/>
      <c r="G12" s="6">
        <v>0.99801600000000001</v>
      </c>
      <c r="H12" s="14">
        <v>2.251336898395722</v>
      </c>
      <c r="I12" s="14">
        <v>2.7055789470000002</v>
      </c>
      <c r="J12" s="3">
        <v>2.56</v>
      </c>
      <c r="K12" s="4">
        <f t="shared" si="0"/>
        <v>313.03680000000003</v>
      </c>
      <c r="L12" s="4">
        <f t="shared" si="1"/>
        <v>31.616</v>
      </c>
      <c r="M12" s="5">
        <v>75434.548820177326</v>
      </c>
      <c r="N12" s="5">
        <f t="shared" si="2"/>
        <v>7543.4548820177333</v>
      </c>
      <c r="O12" s="5">
        <f>M12/K12</f>
        <v>240.97661623226827</v>
      </c>
      <c r="P12" s="5">
        <f>O12*SQRT((N12/M12)^2+(L12/K12)^2)</f>
        <v>34.249667845125842</v>
      </c>
      <c r="Q12" s="5">
        <f t="shared" si="16"/>
        <v>5.9000000000000003E-6</v>
      </c>
      <c r="R12" s="5">
        <f t="shared" si="3"/>
        <v>2.6000000000000001E-6</v>
      </c>
      <c r="S12" s="6">
        <f>1-M12/K12*Q12</f>
        <v>0.99857823796422962</v>
      </c>
      <c r="T12" s="6">
        <f t="shared" si="4"/>
        <v>6.5831974412805039E-4</v>
      </c>
      <c r="U12" s="9">
        <v>2470000</v>
      </c>
      <c r="V12" s="5">
        <v>139000</v>
      </c>
      <c r="W12" s="5">
        <v>5.6476591034701269E-2</v>
      </c>
      <c r="X12" s="11">
        <v>0.01</v>
      </c>
      <c r="Y12" s="3">
        <f t="shared" si="5"/>
        <v>564.76591034701266</v>
      </c>
      <c r="Z12" s="5">
        <f t="shared" si="6"/>
        <v>56.476591034701272</v>
      </c>
      <c r="AA12" s="9">
        <v>16500000000</v>
      </c>
      <c r="AB12" s="5">
        <v>770000000</v>
      </c>
      <c r="AC12" s="13">
        <f t="shared" si="7"/>
        <v>107.69566165249618</v>
      </c>
      <c r="AD12" s="13">
        <f t="shared" si="8"/>
        <v>7.8733466056659607</v>
      </c>
      <c r="AE12" s="5">
        <f t="shared" si="9"/>
        <v>97350</v>
      </c>
      <c r="AF12" s="5">
        <f t="shared" si="10"/>
        <v>43139.875393885872</v>
      </c>
      <c r="AG12" s="5">
        <f t="shared" si="17"/>
        <v>2372650</v>
      </c>
      <c r="AH12" s="5">
        <f t="shared" si="18"/>
        <v>145540.54022505207</v>
      </c>
      <c r="AI12" s="9">
        <f t="shared" si="13"/>
        <v>2376028.1466147788</v>
      </c>
      <c r="AJ12" s="15">
        <f t="shared" si="14"/>
        <v>145756.17606819383</v>
      </c>
      <c r="AK12" s="15">
        <f t="shared" si="15"/>
        <v>291512.35213638766</v>
      </c>
      <c r="AL12" s="16">
        <f>AI12/U12</f>
        <v>0.96195471522865539</v>
      </c>
    </row>
    <row r="13" spans="1:41" x14ac:dyDescent="0.35">
      <c r="A13" s="8" t="s">
        <v>18</v>
      </c>
      <c r="B13" s="6">
        <v>39.219037159999999</v>
      </c>
      <c r="C13" s="6">
        <v>175.5410765</v>
      </c>
      <c r="D13" s="12">
        <v>1332.43</v>
      </c>
      <c r="E13" s="13"/>
      <c r="F13" s="13"/>
      <c r="G13" s="6">
        <v>0.99810299999999996</v>
      </c>
      <c r="H13" s="14">
        <v>2.1473684210526316</v>
      </c>
      <c r="I13" s="14">
        <v>4.3290414589999999</v>
      </c>
      <c r="J13" s="3">
        <v>2.6</v>
      </c>
      <c r="K13" s="4">
        <f t="shared" si="0"/>
        <v>317.928</v>
      </c>
      <c r="L13" s="4">
        <f t="shared" si="1"/>
        <v>32.11</v>
      </c>
      <c r="M13" s="5">
        <v>75434.548820177326</v>
      </c>
      <c r="N13" s="5">
        <f t="shared" si="2"/>
        <v>7543.4548820177333</v>
      </c>
      <c r="O13" s="5">
        <f>M13/K13</f>
        <v>237.26928367484879</v>
      </c>
      <c r="P13" s="5">
        <f>O13*SQRT((N13/M13)^2+(L13/K13)^2)</f>
        <v>33.72274987827776</v>
      </c>
      <c r="Q13" s="5">
        <f t="shared" si="16"/>
        <v>5.9000000000000003E-6</v>
      </c>
      <c r="R13" s="5">
        <f t="shared" si="3"/>
        <v>2.6000000000000001E-6</v>
      </c>
      <c r="S13" s="6">
        <f>1-M13/K13*Q13</f>
        <v>0.99860011122631842</v>
      </c>
      <c r="T13" s="6">
        <f t="shared" si="4"/>
        <v>6.4819174806454195E-4</v>
      </c>
      <c r="U13" s="9">
        <v>2870000</v>
      </c>
      <c r="V13" s="5">
        <v>161000</v>
      </c>
      <c r="W13" s="5">
        <v>5.6476591034701269E-2</v>
      </c>
      <c r="X13" s="11">
        <v>0.01</v>
      </c>
      <c r="Y13" s="3">
        <f t="shared" si="5"/>
        <v>564.76591034701266</v>
      </c>
      <c r="Z13" s="5">
        <f t="shared" si="6"/>
        <v>56.476591034701272</v>
      </c>
      <c r="AA13" s="9">
        <v>11400000000</v>
      </c>
      <c r="AB13" s="5">
        <v>788000000</v>
      </c>
      <c r="AC13" s="13">
        <f t="shared" si="7"/>
        <v>181.11826328410956</v>
      </c>
      <c r="AD13" s="13">
        <f t="shared" si="8"/>
        <v>16.123492042072485</v>
      </c>
      <c r="AE13" s="5">
        <f t="shared" si="9"/>
        <v>67260</v>
      </c>
      <c r="AF13" s="5">
        <f t="shared" si="10"/>
        <v>30002.410913791577</v>
      </c>
      <c r="AG13" s="5">
        <f t="shared" si="17"/>
        <v>2802740</v>
      </c>
      <c r="AH13" s="5">
        <f t="shared" si="18"/>
        <v>163771.62349027381</v>
      </c>
      <c r="AI13" s="9">
        <f t="shared" si="13"/>
        <v>2806669.0244587795</v>
      </c>
      <c r="AJ13" s="15">
        <f t="shared" si="14"/>
        <v>164011.32542954938</v>
      </c>
      <c r="AK13" s="15">
        <f t="shared" si="15"/>
        <v>328022.65085909877</v>
      </c>
      <c r="AL13" s="16">
        <f>AI13/U13</f>
        <v>0.97793345799957476</v>
      </c>
    </row>
    <row r="14" spans="1:41" x14ac:dyDescent="0.35">
      <c r="A14" s="8"/>
      <c r="B14" s="6"/>
      <c r="C14" s="6"/>
      <c r="D14" s="12"/>
      <c r="E14" s="13"/>
      <c r="F14" s="13"/>
      <c r="G14" s="6"/>
      <c r="H14" s="14"/>
      <c r="I14" s="14"/>
      <c r="K14" s="4"/>
      <c r="L14" s="4"/>
      <c r="M14" s="5"/>
      <c r="N14" s="5"/>
      <c r="O14" s="5"/>
      <c r="P14" s="5"/>
      <c r="Q14" s="5"/>
      <c r="R14" s="5"/>
      <c r="S14" s="6"/>
      <c r="T14" s="17"/>
      <c r="U14" s="9"/>
      <c r="V14" s="5"/>
      <c r="W14" s="5"/>
      <c r="X14" s="11"/>
      <c r="Z14" s="5"/>
      <c r="AA14" s="9"/>
      <c r="AB14" s="5"/>
      <c r="AC14" s="13"/>
      <c r="AD14" s="13"/>
      <c r="AE14" s="5"/>
      <c r="AF14" s="5"/>
      <c r="AG14" s="5"/>
      <c r="AH14" s="5"/>
      <c r="AJ14" s="15"/>
      <c r="AK14" s="15"/>
      <c r="AL14" s="16"/>
    </row>
    <row r="15" spans="1:41" x14ac:dyDescent="0.35">
      <c r="A15" s="8" t="s">
        <v>116</v>
      </c>
      <c r="B15" s="6">
        <v>39.307172010000002</v>
      </c>
      <c r="C15" s="6">
        <v>175.56125900000001</v>
      </c>
      <c r="D15" s="12">
        <v>2147.991</v>
      </c>
      <c r="E15" s="13"/>
      <c r="F15" s="13"/>
      <c r="G15" s="6">
        <v>0.99570700000000001</v>
      </c>
      <c r="H15" s="14">
        <v>2.3333333333333335</v>
      </c>
      <c r="I15" s="14">
        <v>6.0116773190000004</v>
      </c>
      <c r="J15" s="3">
        <v>4.82</v>
      </c>
      <c r="K15" s="4">
        <f>122.28*$J15</f>
        <v>589.38960000000009</v>
      </c>
      <c r="L15" s="4">
        <f t="shared" si="1"/>
        <v>59.527000000000001</v>
      </c>
      <c r="M15" s="5">
        <v>44271.415975135613</v>
      </c>
      <c r="N15" s="5">
        <f>M15*0.25</f>
        <v>11067.853993783903</v>
      </c>
      <c r="O15" s="5">
        <f>M15/K15</f>
        <v>75.114009434736559</v>
      </c>
      <c r="P15" s="5">
        <f>O15*SQRT((N15/M15)^2+(L15/K15)^2)</f>
        <v>20.253018300088023</v>
      </c>
      <c r="Q15" s="5">
        <f t="shared" si="16"/>
        <v>5.9000000000000003E-6</v>
      </c>
      <c r="R15" s="5">
        <f t="shared" si="3"/>
        <v>2.6000000000000001E-6</v>
      </c>
      <c r="S15" s="6">
        <f>1-M15/K15*Q15</f>
        <v>0.99955682734433504</v>
      </c>
      <c r="T15" s="6">
        <f>(O15*Q15)*SQRT((P15/O15)^2+(R15/Q15)^2)</f>
        <v>2.2895245050229198E-4</v>
      </c>
      <c r="U15" s="9">
        <v>7860000</v>
      </c>
      <c r="V15" s="5">
        <v>210000</v>
      </c>
      <c r="W15" s="5">
        <v>2.5377468000344888E-2</v>
      </c>
      <c r="X15" s="11">
        <v>0.02</v>
      </c>
      <c r="Y15" s="3">
        <f>W15*X15*1000000</f>
        <v>507.5493600068977</v>
      </c>
      <c r="Z15" s="5">
        <f>Y15*0.1</f>
        <v>50.754936000689774</v>
      </c>
      <c r="AA15" s="9">
        <v>12400000000</v>
      </c>
      <c r="AB15" s="5">
        <v>979000000</v>
      </c>
      <c r="AC15" s="13">
        <f t="shared" si="7"/>
        <v>456.02227895103266</v>
      </c>
      <c r="AD15" s="13">
        <f t="shared" si="8"/>
        <v>38.009354490485357</v>
      </c>
      <c r="AE15" s="5">
        <f>AA15*Q15</f>
        <v>73160</v>
      </c>
      <c r="AF15" s="5">
        <f>AE15*SQRT((AB15/AA15)^2+(R15/Q15)^2)</f>
        <v>32753.334657863463</v>
      </c>
      <c r="AG15" s="5">
        <f t="shared" si="17"/>
        <v>7786840</v>
      </c>
      <c r="AH15" s="5">
        <f t="shared" si="18"/>
        <v>212538.89274956242</v>
      </c>
      <c r="AI15" s="9">
        <f>((U15)-(AA15*Q15))/S15</f>
        <v>7790292.4445910761</v>
      </c>
      <c r="AJ15" s="15">
        <f>AG15/S15*SQRT((AH15/AG15)^2+(T15/S15)^2)</f>
        <v>212640.61305279905</v>
      </c>
      <c r="AK15" s="15">
        <f>2*AJ15</f>
        <v>425281.22610559809</v>
      </c>
      <c r="AL15" s="16">
        <f>AI15/U15</f>
        <v>0.99113135427367383</v>
      </c>
    </row>
    <row r="16" spans="1:41" x14ac:dyDescent="0.35">
      <c r="A16" s="8" t="s">
        <v>19</v>
      </c>
      <c r="B16" s="6">
        <v>39.30735782</v>
      </c>
      <c r="C16" s="6">
        <v>175.56151539999999</v>
      </c>
      <c r="D16" s="12">
        <v>2147.248</v>
      </c>
      <c r="E16" s="13">
        <v>45</v>
      </c>
      <c r="F16" s="13">
        <v>180</v>
      </c>
      <c r="G16" s="6">
        <v>0.92061099999999996</v>
      </c>
      <c r="H16" s="14">
        <v>2.2380952380952381</v>
      </c>
      <c r="I16" s="14">
        <v>4.4607777779999997</v>
      </c>
      <c r="J16" s="3">
        <v>4.78</v>
      </c>
      <c r="K16" s="4">
        <f>122.28*$J16</f>
        <v>584.49840000000006</v>
      </c>
      <c r="L16" s="4">
        <f t="shared" si="1"/>
        <v>59.033000000000001</v>
      </c>
      <c r="M16" s="5">
        <v>44271.415975135613</v>
      </c>
      <c r="N16" s="5">
        <f>M16*0.25</f>
        <v>11067.853993783903</v>
      </c>
      <c r="O16" s="5">
        <f>M16/K16</f>
        <v>75.742578551345233</v>
      </c>
      <c r="P16" s="5">
        <f>O16*SQRT((N16/M16)^2+(L16/K16)^2)</f>
        <v>20.422499624774954</v>
      </c>
      <c r="Q16" s="5">
        <f t="shared" si="16"/>
        <v>5.9000000000000003E-6</v>
      </c>
      <c r="R16" s="5">
        <f t="shared" si="3"/>
        <v>2.6000000000000001E-6</v>
      </c>
      <c r="S16" s="6">
        <f>1-M16/K16*Q16</f>
        <v>0.99955311878654707</v>
      </c>
      <c r="T16" s="6">
        <f t="shared" si="4"/>
        <v>2.3086837059017729E-4</v>
      </c>
      <c r="U16" s="9">
        <v>7610000</v>
      </c>
      <c r="V16" s="5">
        <v>493000</v>
      </c>
      <c r="W16" s="5">
        <v>2.5377468000344888E-2</v>
      </c>
      <c r="X16" s="11">
        <v>0.02</v>
      </c>
      <c r="Y16" s="3">
        <f t="shared" si="5"/>
        <v>507.5493600068977</v>
      </c>
      <c r="Z16" s="5">
        <f t="shared" si="6"/>
        <v>50.754936000689774</v>
      </c>
      <c r="AA16" s="9">
        <v>11900000000</v>
      </c>
      <c r="AB16" s="5">
        <v>1320000000</v>
      </c>
      <c r="AC16" s="13">
        <f t="shared" si="7"/>
        <v>460.0689196541926</v>
      </c>
      <c r="AD16" s="13">
        <f t="shared" si="8"/>
        <v>59.098850029061985</v>
      </c>
      <c r="AE16" s="5">
        <f t="shared" si="9"/>
        <v>70210</v>
      </c>
      <c r="AF16" s="5">
        <f t="shared" si="10"/>
        <v>31905.117833977674</v>
      </c>
      <c r="AG16" s="5">
        <f t="shared" si="17"/>
        <v>7539790</v>
      </c>
      <c r="AH16" s="5">
        <f t="shared" si="18"/>
        <v>494031.31129919284</v>
      </c>
      <c r="AI16" s="9">
        <f t="shared" ref="AI16:AI91" si="19">((U16)-(AA16*Q16))/S16</f>
        <v>7543160.896894875</v>
      </c>
      <c r="AJ16" s="15">
        <f t="shared" si="14"/>
        <v>494255.25406080263</v>
      </c>
      <c r="AK16" s="15">
        <f t="shared" si="15"/>
        <v>988510.50812160526</v>
      </c>
      <c r="AL16" s="16">
        <f>AI16/U16</f>
        <v>0.99121693783112685</v>
      </c>
    </row>
    <row r="17" spans="1:40" x14ac:dyDescent="0.35">
      <c r="A17" s="8" t="s">
        <v>20</v>
      </c>
      <c r="B17" s="6">
        <v>39.307386739999998</v>
      </c>
      <c r="C17" s="6">
        <v>175.56155749999999</v>
      </c>
      <c r="D17" s="12">
        <v>2145.373</v>
      </c>
      <c r="E17" s="13"/>
      <c r="F17" s="13"/>
      <c r="G17" s="6">
        <v>0.99004499999999995</v>
      </c>
      <c r="H17" s="14">
        <v>2.1758241758241761</v>
      </c>
      <c r="I17" s="14">
        <v>4.6061111109999997</v>
      </c>
      <c r="J17" s="3">
        <v>4.7</v>
      </c>
      <c r="K17" s="4">
        <f t="shared" si="0"/>
        <v>574.71600000000001</v>
      </c>
      <c r="L17" s="4">
        <f t="shared" si="1"/>
        <v>58.045000000000002</v>
      </c>
      <c r="M17" s="5">
        <v>44271.415975135613</v>
      </c>
      <c r="N17" s="5">
        <f>M17*0.25</f>
        <v>11067.853993783903</v>
      </c>
      <c r="O17" s="5">
        <f>M17/K17</f>
        <v>77.031813930942604</v>
      </c>
      <c r="P17" s="5">
        <f>O17*SQRT((N17/M17)^2+(L17/K17)^2)</f>
        <v>20.770116639664742</v>
      </c>
      <c r="Q17" s="5">
        <f t="shared" si="16"/>
        <v>5.9000000000000003E-6</v>
      </c>
      <c r="R17" s="5">
        <f t="shared" si="3"/>
        <v>2.6000000000000001E-6</v>
      </c>
      <c r="S17" s="6">
        <f>1-M17/K17*Q17</f>
        <v>0.99954551229780741</v>
      </c>
      <c r="T17" s="6">
        <f t="shared" si="4"/>
        <v>2.3479804498320158E-4</v>
      </c>
      <c r="U17" s="9">
        <v>6190000</v>
      </c>
      <c r="V17" s="5">
        <v>388000</v>
      </c>
      <c r="W17" s="5">
        <v>2.5377468000344888E-2</v>
      </c>
      <c r="X17" s="11">
        <v>0.02</v>
      </c>
      <c r="Y17" s="3">
        <f t="shared" si="5"/>
        <v>507.5493600068977</v>
      </c>
      <c r="Z17" s="5">
        <f t="shared" si="6"/>
        <v>50.754936000689774</v>
      </c>
      <c r="AA17" s="9">
        <v>12800000000</v>
      </c>
      <c r="AB17" s="5">
        <v>742000000</v>
      </c>
      <c r="AC17" s="13">
        <f t="shared" si="7"/>
        <v>347.90917266187046</v>
      </c>
      <c r="AD17" s="13">
        <f t="shared" si="8"/>
        <v>29.703736812396588</v>
      </c>
      <c r="AE17" s="5">
        <f t="shared" si="9"/>
        <v>75520</v>
      </c>
      <c r="AF17" s="5">
        <f t="shared" si="10"/>
        <v>33566.702740066685</v>
      </c>
      <c r="AG17" s="5">
        <f t="shared" si="17"/>
        <v>6114480</v>
      </c>
      <c r="AH17" s="5">
        <f t="shared" si="18"/>
        <v>389449.25668543775</v>
      </c>
      <c r="AI17" s="9">
        <f t="shared" si="19"/>
        <v>6117260.2195408931</v>
      </c>
      <c r="AJ17" s="15">
        <f t="shared" si="14"/>
        <v>389628.98689362785</v>
      </c>
      <c r="AK17" s="15">
        <f t="shared" si="15"/>
        <v>779257.9737872557</v>
      </c>
      <c r="AL17" s="16">
        <f>AI17/U17</f>
        <v>0.98824882383536239</v>
      </c>
    </row>
    <row r="18" spans="1:40" x14ac:dyDescent="0.35">
      <c r="A18" s="8" t="s">
        <v>21</v>
      </c>
      <c r="B18" s="6">
        <v>39.30778162</v>
      </c>
      <c r="C18" s="6">
        <v>175.56148089999999</v>
      </c>
      <c r="D18" s="12">
        <v>2128.0990000000002</v>
      </c>
      <c r="E18" s="13"/>
      <c r="F18" s="13"/>
      <c r="G18" s="6">
        <v>0.99253000000000002</v>
      </c>
      <c r="H18" s="14">
        <v>2.8</v>
      </c>
      <c r="I18" s="14">
        <v>4.723498127</v>
      </c>
      <c r="J18" s="3">
        <v>4.41</v>
      </c>
      <c r="K18" s="4">
        <f t="shared" si="0"/>
        <v>539.25480000000005</v>
      </c>
      <c r="L18" s="4">
        <f t="shared" si="1"/>
        <v>54.463500000000003</v>
      </c>
      <c r="M18" s="5">
        <v>44271.415975135613</v>
      </c>
      <c r="N18" s="5">
        <f>M18*0.25</f>
        <v>11067.853993783903</v>
      </c>
      <c r="O18" s="5">
        <f>M18/K18</f>
        <v>82.097398066990976</v>
      </c>
      <c r="P18" s="5">
        <f>O18*SQRT((N18/M18)^2+(L18/K18)^2)</f>
        <v>22.135951974245867</v>
      </c>
      <c r="Q18" s="5">
        <f t="shared" si="16"/>
        <v>5.9000000000000003E-6</v>
      </c>
      <c r="R18" s="5">
        <f t="shared" si="3"/>
        <v>2.6000000000000001E-6</v>
      </c>
      <c r="S18" s="6">
        <f>1-M18/K18*Q18</f>
        <v>0.9995156253514047</v>
      </c>
      <c r="T18" s="6">
        <f t="shared" si="4"/>
        <v>2.5023827923379755E-4</v>
      </c>
      <c r="U18" s="9">
        <v>3610000</v>
      </c>
      <c r="V18" s="5">
        <v>245000</v>
      </c>
      <c r="W18" s="5">
        <v>2.5377468000344888E-2</v>
      </c>
      <c r="X18" s="11">
        <v>0.02</v>
      </c>
      <c r="Y18" s="3">
        <f t="shared" si="5"/>
        <v>507.5493600068977</v>
      </c>
      <c r="Z18" s="5">
        <f t="shared" si="6"/>
        <v>50.754936000689774</v>
      </c>
      <c r="AA18" s="9">
        <v>18700000000</v>
      </c>
      <c r="AB18" s="5">
        <v>975000000</v>
      </c>
      <c r="AC18" s="13">
        <f t="shared" si="7"/>
        <v>138.88354556996114</v>
      </c>
      <c r="AD18" s="13">
        <f t="shared" si="8"/>
        <v>11.886041199102577</v>
      </c>
      <c r="AE18" s="5">
        <f t="shared" si="9"/>
        <v>110330</v>
      </c>
      <c r="AF18" s="5">
        <f t="shared" si="10"/>
        <v>48959.122298607435</v>
      </c>
      <c r="AG18" s="5">
        <f t="shared" si="17"/>
        <v>3499670</v>
      </c>
      <c r="AH18" s="5">
        <f t="shared" si="18"/>
        <v>249843.94260467874</v>
      </c>
      <c r="AI18" s="9">
        <f t="shared" si="19"/>
        <v>3501365.972912733</v>
      </c>
      <c r="AJ18" s="15">
        <f t="shared" si="14"/>
        <v>249966.55638993907</v>
      </c>
      <c r="AK18" s="15">
        <f t="shared" si="15"/>
        <v>499933.11277987814</v>
      </c>
      <c r="AL18" s="16">
        <f>AI18/U18</f>
        <v>0.96990747172097869</v>
      </c>
    </row>
    <row r="19" spans="1:40" x14ac:dyDescent="0.35">
      <c r="A19" s="8"/>
      <c r="B19" s="6"/>
      <c r="C19" s="6"/>
      <c r="D19" s="12"/>
      <c r="E19" s="13"/>
      <c r="F19" s="13"/>
      <c r="G19" s="6"/>
      <c r="H19" s="14"/>
      <c r="I19" s="14"/>
      <c r="J19" s="14"/>
      <c r="K19" s="4"/>
      <c r="L19" s="4"/>
      <c r="M19" s="5"/>
      <c r="N19" s="5"/>
      <c r="O19" s="5"/>
      <c r="P19" s="5"/>
      <c r="Q19" s="5"/>
      <c r="R19" s="5"/>
      <c r="S19" s="6"/>
      <c r="T19" s="17"/>
      <c r="U19" s="9"/>
      <c r="V19" s="5"/>
      <c r="W19" s="5"/>
      <c r="X19" s="11"/>
      <c r="Z19" s="5"/>
      <c r="AA19" s="9"/>
      <c r="AB19" s="5"/>
      <c r="AC19" s="13"/>
      <c r="AD19" s="13"/>
      <c r="AE19" s="5"/>
      <c r="AF19" s="5"/>
      <c r="AG19" s="5"/>
      <c r="AH19" s="5"/>
      <c r="AJ19" s="15"/>
      <c r="AK19" s="15"/>
      <c r="AL19" s="16"/>
    </row>
    <row r="20" spans="1:40" x14ac:dyDescent="0.35">
      <c r="A20" s="8" t="s">
        <v>22</v>
      </c>
      <c r="B20" s="6">
        <v>39.314046009999998</v>
      </c>
      <c r="C20" s="6">
        <v>175.55092350000001</v>
      </c>
      <c r="D20" s="12">
        <v>1831.431</v>
      </c>
      <c r="E20" s="13"/>
      <c r="F20" s="13"/>
      <c r="G20" s="6">
        <v>0.99666399999999999</v>
      </c>
      <c r="H20" s="14">
        <v>1.8381093544137022</v>
      </c>
      <c r="I20" s="14">
        <v>5.4761111109999998</v>
      </c>
      <c r="J20" s="14">
        <v>3.83</v>
      </c>
      <c r="K20" s="4">
        <f t="shared" si="0"/>
        <v>468.33240000000001</v>
      </c>
      <c r="L20" s="4">
        <f t="shared" si="1"/>
        <v>47.3005</v>
      </c>
      <c r="M20" s="5">
        <v>74371.885531289474</v>
      </c>
      <c r="N20" s="5">
        <f>M20*0.1</f>
        <v>7437.1885531289481</v>
      </c>
      <c r="O20" s="5">
        <f>M20/K20</f>
        <v>158.80149554310032</v>
      </c>
      <c r="P20" s="5">
        <f>O20*SQRT((N20/M20)^2+(L20/K20)^2)</f>
        <v>22.570233413926228</v>
      </c>
      <c r="Q20" s="5">
        <f t="shared" si="16"/>
        <v>5.9000000000000003E-6</v>
      </c>
      <c r="R20" s="5">
        <f t="shared" si="3"/>
        <v>2.6000000000000001E-6</v>
      </c>
      <c r="S20" s="6">
        <f>1-M20/K20*Q20</f>
        <v>0.99906307117629567</v>
      </c>
      <c r="T20" s="6">
        <f t="shared" si="4"/>
        <v>4.3382698930555691E-4</v>
      </c>
      <c r="U20" s="9">
        <v>6380000</v>
      </c>
      <c r="V20" s="5">
        <v>252000</v>
      </c>
      <c r="W20" s="5">
        <v>2.9579101269066935E-2</v>
      </c>
      <c r="X20" s="11">
        <v>1.4999999999999999E-2</v>
      </c>
      <c r="Y20" s="3">
        <f t="shared" si="5"/>
        <v>443.68651903600403</v>
      </c>
      <c r="Z20" s="5">
        <f t="shared" si="6"/>
        <v>44.368651903600409</v>
      </c>
      <c r="AA20" s="9">
        <v>17400000000</v>
      </c>
      <c r="AB20" s="5">
        <v>773000000</v>
      </c>
      <c r="AC20" s="13">
        <f t="shared" si="7"/>
        <v>263.78896882494007</v>
      </c>
      <c r="AD20" s="13">
        <f t="shared" si="8"/>
        <v>15.680989189210459</v>
      </c>
      <c r="AE20" s="5">
        <f t="shared" si="9"/>
        <v>102660</v>
      </c>
      <c r="AF20" s="5">
        <f t="shared" si="10"/>
        <v>45469.303760779098</v>
      </c>
      <c r="AG20" s="5">
        <f t="shared" si="17"/>
        <v>6277340</v>
      </c>
      <c r="AH20" s="5">
        <f t="shared" si="18"/>
        <v>256069.24373007001</v>
      </c>
      <c r="AI20" s="9">
        <f t="shared" si="19"/>
        <v>6283226.9364226097</v>
      </c>
      <c r="AJ20" s="15">
        <f t="shared" si="14"/>
        <v>256323.90869976269</v>
      </c>
      <c r="AK20" s="15">
        <f t="shared" si="15"/>
        <v>512647.81739952537</v>
      </c>
      <c r="AL20" s="16">
        <f>AI20/U20</f>
        <v>0.98483180821671001</v>
      </c>
    </row>
    <row r="21" spans="1:40" x14ac:dyDescent="0.35">
      <c r="A21" s="8" t="s">
        <v>23</v>
      </c>
      <c r="B21" s="6">
        <v>39.313987249999997</v>
      </c>
      <c r="C21" s="6">
        <v>175.5508853</v>
      </c>
      <c r="D21" s="12">
        <v>1833.0619999999999</v>
      </c>
      <c r="E21" s="13"/>
      <c r="F21" s="13"/>
      <c r="G21" s="6">
        <v>0.99637799999999999</v>
      </c>
      <c r="H21" s="14">
        <v>1.7898550724637681</v>
      </c>
      <c r="I21" s="14">
        <v>5.334285714</v>
      </c>
      <c r="J21" s="14">
        <v>3.82</v>
      </c>
      <c r="K21" s="4">
        <f t="shared" si="0"/>
        <v>467.1096</v>
      </c>
      <c r="L21" s="4">
        <f t="shared" si="1"/>
        <v>47.177</v>
      </c>
      <c r="M21" s="5">
        <v>74371.885531289474</v>
      </c>
      <c r="N21" s="5">
        <f>M21*0.1</f>
        <v>7437.1885531289481</v>
      </c>
      <c r="O21" s="5">
        <f>M21/K21</f>
        <v>159.21720626441734</v>
      </c>
      <c r="P21" s="5">
        <f>O21*SQRT((N21/M21)^2+(L21/K21)^2)</f>
        <v>22.629317794590957</v>
      </c>
      <c r="Q21" s="5">
        <f t="shared" si="16"/>
        <v>5.9000000000000003E-6</v>
      </c>
      <c r="R21" s="5">
        <f t="shared" si="3"/>
        <v>2.6000000000000001E-6</v>
      </c>
      <c r="S21" s="6">
        <f>1-M21/K21*Q21</f>
        <v>0.99906061848303995</v>
      </c>
      <c r="T21" s="6">
        <f t="shared" si="4"/>
        <v>4.3496266205243013E-4</v>
      </c>
      <c r="U21" s="9">
        <v>5730000</v>
      </c>
      <c r="V21" s="5">
        <v>258000</v>
      </c>
      <c r="W21" s="5">
        <v>2.9579101269066935E-2</v>
      </c>
      <c r="X21" s="11">
        <v>1.4999999999999999E-2</v>
      </c>
      <c r="Y21" s="3">
        <f t="shared" si="5"/>
        <v>443.68651903600403</v>
      </c>
      <c r="Z21" s="5">
        <f t="shared" si="6"/>
        <v>44.368651903600409</v>
      </c>
      <c r="AA21" s="9">
        <v>21300000000</v>
      </c>
      <c r="AB21" s="5">
        <v>1160000000</v>
      </c>
      <c r="AC21" s="13">
        <f t="shared" si="7"/>
        <v>193.53531259499442</v>
      </c>
      <c r="AD21" s="13">
        <f t="shared" si="8"/>
        <v>13.675784375818999</v>
      </c>
      <c r="AE21" s="5">
        <f t="shared" si="9"/>
        <v>125670</v>
      </c>
      <c r="AF21" s="5">
        <f t="shared" si="10"/>
        <v>55801.296902491435</v>
      </c>
      <c r="AG21" s="5">
        <f t="shared" si="17"/>
        <v>5604330</v>
      </c>
      <c r="AH21" s="5">
        <f t="shared" si="18"/>
        <v>263965.49913956557</v>
      </c>
      <c r="AI21" s="9">
        <f t="shared" si="19"/>
        <v>5609599.5541387051</v>
      </c>
      <c r="AJ21" s="15">
        <f t="shared" si="14"/>
        <v>264224.98388521781</v>
      </c>
      <c r="AK21" s="15">
        <f t="shared" si="15"/>
        <v>528449.96777043561</v>
      </c>
      <c r="AL21" s="16">
        <f>AI21/U21</f>
        <v>0.97898770578336913</v>
      </c>
    </row>
    <row r="22" spans="1:40" x14ac:dyDescent="0.35">
      <c r="A22" s="8" t="s">
        <v>24</v>
      </c>
      <c r="B22" s="6">
        <v>39.313992749999997</v>
      </c>
      <c r="C22" s="6">
        <v>175.55088380000001</v>
      </c>
      <c r="D22" s="12">
        <v>1832.925</v>
      </c>
      <c r="E22" s="13"/>
      <c r="F22" s="13"/>
      <c r="G22" s="6">
        <v>0.99637799999999999</v>
      </c>
      <c r="H22" s="14">
        <v>1.8381093544137022</v>
      </c>
      <c r="I22" s="14">
        <v>5.3294615380000003</v>
      </c>
      <c r="J22" s="14">
        <v>3.84</v>
      </c>
      <c r="K22" s="4">
        <f t="shared" si="0"/>
        <v>469.55520000000001</v>
      </c>
      <c r="L22" s="4">
        <f t="shared" si="1"/>
        <v>47.423999999999999</v>
      </c>
      <c r="M22" s="5">
        <v>74371.885531289474</v>
      </c>
      <c r="N22" s="5">
        <f>M22*0.1</f>
        <v>7437.1885531289481</v>
      </c>
      <c r="O22" s="5">
        <f>M22/K22</f>
        <v>158.38794998179014</v>
      </c>
      <c r="P22" s="5">
        <f>O22*SQRT((N22/M22)^2+(L22/K22)^2)</f>
        <v>22.511456764410791</v>
      </c>
      <c r="Q22" s="5">
        <f t="shared" si="16"/>
        <v>5.9000000000000003E-6</v>
      </c>
      <c r="R22" s="5">
        <f t="shared" si="3"/>
        <v>2.6000000000000001E-6</v>
      </c>
      <c r="S22" s="6">
        <f>1-M22/K22*Q22</f>
        <v>0.99906551109510744</v>
      </c>
      <c r="T22" s="6">
        <f t="shared" si="4"/>
        <v>4.3269723152090695E-4</v>
      </c>
      <c r="U22" s="9">
        <v>6420000</v>
      </c>
      <c r="V22" s="5">
        <v>363000</v>
      </c>
      <c r="W22" s="5">
        <v>2.9579101269066935E-2</v>
      </c>
      <c r="X22" s="11">
        <v>1.4999999999999999E-2</v>
      </c>
      <c r="Y22" s="3">
        <f t="shared" si="5"/>
        <v>443.68651903600403</v>
      </c>
      <c r="Z22" s="5">
        <f t="shared" si="6"/>
        <v>44.368651903600409</v>
      </c>
      <c r="AA22" s="9">
        <v>22400000000</v>
      </c>
      <c r="AB22" s="5">
        <v>1760000000</v>
      </c>
      <c r="AC22" s="13">
        <f t="shared" si="7"/>
        <v>206.19218910585818</v>
      </c>
      <c r="AD22" s="13">
        <f t="shared" si="8"/>
        <v>19.959652583731181</v>
      </c>
      <c r="AE22" s="5">
        <f t="shared" si="9"/>
        <v>132160</v>
      </c>
      <c r="AF22" s="5">
        <f t="shared" si="10"/>
        <v>59158.474084445421</v>
      </c>
      <c r="AG22" s="5">
        <f t="shared" si="17"/>
        <v>6287840</v>
      </c>
      <c r="AH22" s="5">
        <f t="shared" si="18"/>
        <v>367788.96809991461</v>
      </c>
      <c r="AI22" s="9">
        <f t="shared" si="19"/>
        <v>6293721.4128307747</v>
      </c>
      <c r="AJ22" s="15">
        <f t="shared" si="14"/>
        <v>368143.07576429209</v>
      </c>
      <c r="AK22" s="15">
        <f t="shared" si="15"/>
        <v>736286.15152858419</v>
      </c>
      <c r="AL22" s="16">
        <f>AI22/U22</f>
        <v>0.9803304381356347</v>
      </c>
    </row>
    <row r="23" spans="1:40" x14ac:dyDescent="0.35">
      <c r="A23" s="8" t="s">
        <v>25</v>
      </c>
      <c r="B23" s="6">
        <v>39.314297760000002</v>
      </c>
      <c r="C23" s="6">
        <v>175.55120109999999</v>
      </c>
      <c r="D23" s="12">
        <v>1816.3889999999999</v>
      </c>
      <c r="E23" s="13">
        <v>20</v>
      </c>
      <c r="F23" s="13">
        <v>230</v>
      </c>
      <c r="G23" s="6">
        <v>0.98805399999999999</v>
      </c>
      <c r="H23" s="14">
        <v>1.8863636363636365</v>
      </c>
      <c r="I23" s="14">
        <v>5.0496363639999995</v>
      </c>
      <c r="J23" s="14">
        <v>3.81</v>
      </c>
      <c r="K23" s="4">
        <f t="shared" si="0"/>
        <v>465.88679999999999</v>
      </c>
      <c r="L23" s="4">
        <f t="shared" si="1"/>
        <v>47.0535</v>
      </c>
      <c r="M23" s="5">
        <v>74371.885531289474</v>
      </c>
      <c r="N23" s="5">
        <f>M23*0.1</f>
        <v>7437.1885531289481</v>
      </c>
      <c r="O23" s="5">
        <f>M23/K23</f>
        <v>159.63509919424521</v>
      </c>
      <c r="P23" s="5">
        <f>O23*SQRT((N23/M23)^2+(L23/K23)^2)</f>
        <v>22.688712329484897</v>
      </c>
      <c r="Q23" s="5">
        <f t="shared" si="16"/>
        <v>5.9000000000000003E-6</v>
      </c>
      <c r="R23" s="5">
        <f t="shared" si="3"/>
        <v>2.6000000000000001E-6</v>
      </c>
      <c r="S23" s="6">
        <f>1-M23/K23*Q23</f>
        <v>0.99905815291475397</v>
      </c>
      <c r="T23" s="6">
        <f t="shared" si="4"/>
        <v>4.361042963360323E-4</v>
      </c>
      <c r="U23" s="9">
        <v>6450000</v>
      </c>
      <c r="V23" s="5">
        <v>306000</v>
      </c>
      <c r="W23" s="5">
        <v>2.9579101269066935E-2</v>
      </c>
      <c r="X23" s="11">
        <v>1.4999999999999999E-2</v>
      </c>
      <c r="Y23" s="3">
        <f t="shared" si="5"/>
        <v>443.68651903600403</v>
      </c>
      <c r="Z23" s="5">
        <f t="shared" si="6"/>
        <v>44.368651903600409</v>
      </c>
      <c r="AA23" s="9">
        <v>9790000000</v>
      </c>
      <c r="AB23" s="5">
        <v>560000000</v>
      </c>
      <c r="AC23" s="13">
        <f t="shared" si="7"/>
        <v>473.98240753668773</v>
      </c>
      <c r="AD23" s="13">
        <f t="shared" si="8"/>
        <v>35.223974315577905</v>
      </c>
      <c r="AE23" s="5">
        <f t="shared" si="9"/>
        <v>57761</v>
      </c>
      <c r="AF23" s="5">
        <f t="shared" si="10"/>
        <v>25667.538487357921</v>
      </c>
      <c r="AG23" s="5">
        <f t="shared" si="17"/>
        <v>6392239</v>
      </c>
      <c r="AH23" s="5">
        <f t="shared" si="18"/>
        <v>307074.62046219321</v>
      </c>
      <c r="AI23" s="9">
        <f t="shared" si="19"/>
        <v>6398265.1874174001</v>
      </c>
      <c r="AJ23" s="15">
        <f t="shared" si="14"/>
        <v>307376.79957508168</v>
      </c>
      <c r="AK23" s="15">
        <f t="shared" si="15"/>
        <v>614753.59915016335</v>
      </c>
      <c r="AL23" s="16">
        <f>AI23/U23</f>
        <v>0.99197909882440316</v>
      </c>
    </row>
    <row r="24" spans="1:40" x14ac:dyDescent="0.35">
      <c r="A24" s="8"/>
      <c r="B24" s="6"/>
      <c r="C24" s="6"/>
      <c r="D24" s="12"/>
      <c r="E24" s="13"/>
      <c r="F24" s="13"/>
      <c r="G24" s="6"/>
      <c r="H24" s="14"/>
      <c r="I24" s="14"/>
      <c r="K24" s="4"/>
      <c r="L24" s="4"/>
      <c r="M24" s="5"/>
      <c r="N24" s="5"/>
      <c r="O24" s="5"/>
      <c r="P24" s="5"/>
      <c r="Q24" s="5"/>
      <c r="R24" s="5"/>
      <c r="S24" s="6"/>
      <c r="T24" s="17"/>
      <c r="U24" s="9"/>
      <c r="V24" s="5"/>
      <c r="W24" s="5"/>
      <c r="X24" s="11"/>
      <c r="Z24" s="5"/>
      <c r="AA24" s="9"/>
      <c r="AB24" s="5"/>
      <c r="AC24" s="13"/>
      <c r="AD24" s="13"/>
      <c r="AE24" s="5"/>
      <c r="AF24" s="5"/>
      <c r="AG24" s="5"/>
      <c r="AH24" s="5"/>
      <c r="AJ24" s="15"/>
      <c r="AK24" s="15"/>
      <c r="AL24" s="16"/>
    </row>
    <row r="25" spans="1:40" x14ac:dyDescent="0.35">
      <c r="A25" s="8" t="s">
        <v>28</v>
      </c>
      <c r="B25" s="6">
        <v>39.323428040000003</v>
      </c>
      <c r="C25" s="6">
        <v>175.5520468</v>
      </c>
      <c r="D25" s="12">
        <v>1585.9469999999999</v>
      </c>
      <c r="E25" s="13">
        <v>20</v>
      </c>
      <c r="F25" s="13">
        <v>80</v>
      </c>
      <c r="G25" s="6">
        <v>0.991255</v>
      </c>
      <c r="H25" s="14">
        <v>2.8</v>
      </c>
      <c r="I25" s="14">
        <v>4.2317222220000001</v>
      </c>
      <c r="J25" s="14">
        <v>3.27</v>
      </c>
      <c r="K25" s="4">
        <f t="shared" si="0"/>
        <v>399.85559999999998</v>
      </c>
      <c r="L25" s="4">
        <f t="shared" si="1"/>
        <v>40.384499999999996</v>
      </c>
      <c r="M25" s="5">
        <v>74454.84985206589</v>
      </c>
      <c r="N25" s="5">
        <f t="shared" ref="N25:N30" si="20">M25*0.1</f>
        <v>7445.484985206589</v>
      </c>
      <c r="O25" s="5">
        <f t="shared" ref="O25:O30" si="21">M25/K25</f>
        <v>186.20434439849259</v>
      </c>
      <c r="P25" s="5">
        <f t="shared" ref="P25:P30" si="22">O25*SQRT((N25/M25)^2+(L25/K25)^2)</f>
        <v>26.464961815302527</v>
      </c>
      <c r="Q25" s="5">
        <f t="shared" si="16"/>
        <v>5.9000000000000003E-6</v>
      </c>
      <c r="R25" s="5">
        <f t="shared" si="3"/>
        <v>2.6000000000000001E-6</v>
      </c>
      <c r="S25" s="6">
        <f t="shared" ref="S25:S30" si="23">1-M25/K25*Q25</f>
        <v>0.99890139436804892</v>
      </c>
      <c r="T25" s="6">
        <f t="shared" si="4"/>
        <v>5.0868834609991726E-4</v>
      </c>
      <c r="U25" s="9">
        <v>6300000</v>
      </c>
      <c r="V25" s="5">
        <v>378000</v>
      </c>
      <c r="W25" s="5">
        <v>4.0059423233471239E-2</v>
      </c>
      <c r="X25" s="11">
        <v>1.4999999999999999E-2</v>
      </c>
      <c r="Y25" s="3">
        <f t="shared" si="5"/>
        <v>600.89134850206858</v>
      </c>
      <c r="Z25" s="5">
        <f t="shared" si="6"/>
        <v>60.089134850206861</v>
      </c>
      <c r="AA25" s="9">
        <v>18300000000</v>
      </c>
      <c r="AB25" s="5">
        <v>665000000</v>
      </c>
      <c r="AC25" s="13">
        <f t="shared" si="7"/>
        <v>247.67071588630736</v>
      </c>
      <c r="AD25" s="13">
        <f t="shared" si="8"/>
        <v>17.37319285204363</v>
      </c>
      <c r="AE25" s="5">
        <f t="shared" si="9"/>
        <v>107970</v>
      </c>
      <c r="AF25" s="5">
        <f t="shared" si="10"/>
        <v>47741.494030350579</v>
      </c>
      <c r="AG25" s="5">
        <f t="shared" si="17"/>
        <v>6192030</v>
      </c>
      <c r="AH25" s="5">
        <f t="shared" si="18"/>
        <v>381002.95307549782</v>
      </c>
      <c r="AI25" s="9">
        <f t="shared" si="19"/>
        <v>6198840.080624138</v>
      </c>
      <c r="AJ25" s="15">
        <f t="shared" si="14"/>
        <v>381435.04820991325</v>
      </c>
      <c r="AK25" s="15">
        <f t="shared" si="15"/>
        <v>762870.0964198265</v>
      </c>
      <c r="AL25" s="16">
        <f t="shared" ref="AL25:AL30" si="24">AI25/U25</f>
        <v>0.98394286994033942</v>
      </c>
    </row>
    <row r="26" spans="1:40" x14ac:dyDescent="0.35">
      <c r="A26" s="8" t="s">
        <v>92</v>
      </c>
      <c r="B26" s="6">
        <v>39.324869329999999</v>
      </c>
      <c r="C26" s="6">
        <v>175.55077109999999</v>
      </c>
      <c r="D26" s="12">
        <v>1567.5609999999999</v>
      </c>
      <c r="E26" s="13">
        <v>29</v>
      </c>
      <c r="F26" s="13">
        <v>145</v>
      </c>
      <c r="G26" s="6">
        <v>0.97858699999999998</v>
      </c>
      <c r="H26" s="14">
        <v>2.0708661417322838</v>
      </c>
      <c r="I26" s="14">
        <v>3.6140625000000002</v>
      </c>
      <c r="J26" s="14">
        <v>3.23</v>
      </c>
      <c r="K26" s="4">
        <f t="shared" si="0"/>
        <v>394.96440000000001</v>
      </c>
      <c r="L26" s="4">
        <f t="shared" si="1"/>
        <v>39.890499999999996</v>
      </c>
      <c r="M26" s="5">
        <v>74454.84985206589</v>
      </c>
      <c r="N26" s="5">
        <f t="shared" si="20"/>
        <v>7445.484985206589</v>
      </c>
      <c r="O26" s="5">
        <f t="shared" si="21"/>
        <v>188.51028055203429</v>
      </c>
      <c r="P26" s="5">
        <f t="shared" si="22"/>
        <v>26.792701280507508</v>
      </c>
      <c r="Q26" s="5">
        <f t="shared" si="16"/>
        <v>5.9000000000000003E-6</v>
      </c>
      <c r="R26" s="5">
        <f t="shared" si="3"/>
        <v>2.6000000000000001E-6</v>
      </c>
      <c r="S26" s="6">
        <f t="shared" si="23"/>
        <v>0.99888778934474298</v>
      </c>
      <c r="T26" s="6">
        <f t="shared" si="4"/>
        <v>5.1498789218164991E-4</v>
      </c>
      <c r="U26" s="9">
        <v>6140000</v>
      </c>
      <c r="V26" s="5">
        <v>245000</v>
      </c>
      <c r="W26" s="5">
        <v>4.0059423233471239E-2</v>
      </c>
      <c r="X26" s="11">
        <v>1.4999999999999999E-2</v>
      </c>
      <c r="Y26" s="3">
        <f t="shared" si="5"/>
        <v>600.89134850206858</v>
      </c>
      <c r="Z26" s="5">
        <f t="shared" si="6"/>
        <v>60.089134850206861</v>
      </c>
      <c r="AA26" s="9">
        <v>7350000000</v>
      </c>
      <c r="AB26" s="5">
        <v>514000000</v>
      </c>
      <c r="AC26" s="13">
        <f t="shared" si="7"/>
        <v>600.9885968776</v>
      </c>
      <c r="AD26" s="13">
        <f t="shared" si="8"/>
        <v>48.388625065699856</v>
      </c>
      <c r="AE26" s="5">
        <f t="shared" si="9"/>
        <v>43365</v>
      </c>
      <c r="AF26" s="5">
        <f t="shared" si="10"/>
        <v>19349.128217054124</v>
      </c>
      <c r="AG26" s="5">
        <f t="shared" si="17"/>
        <v>6096635</v>
      </c>
      <c r="AH26" s="5">
        <f t="shared" si="18"/>
        <v>245762.87100121533</v>
      </c>
      <c r="AI26" s="9">
        <f t="shared" si="19"/>
        <v>6103423.2924193731</v>
      </c>
      <c r="AJ26" s="15">
        <f t="shared" si="14"/>
        <v>246056.63693226836</v>
      </c>
      <c r="AK26" s="15">
        <f t="shared" si="15"/>
        <v>492113.27386453672</v>
      </c>
      <c r="AL26" s="16">
        <f t="shared" si="24"/>
        <v>0.99404288150152653</v>
      </c>
    </row>
    <row r="27" spans="1:40" x14ac:dyDescent="0.35">
      <c r="A27" s="8" t="s">
        <v>93</v>
      </c>
      <c r="B27" s="6">
        <v>39.324869329999999</v>
      </c>
      <c r="C27" s="6">
        <v>175.55077109999999</v>
      </c>
      <c r="D27" s="12">
        <v>1567.5609999999999</v>
      </c>
      <c r="E27" s="13">
        <v>29</v>
      </c>
      <c r="F27" s="13">
        <v>145</v>
      </c>
      <c r="G27" s="6">
        <v>0.97858699999999998</v>
      </c>
      <c r="H27" s="14">
        <v>2.0708661417322838</v>
      </c>
      <c r="I27" s="14">
        <v>3.6140625000000002</v>
      </c>
      <c r="J27" s="14">
        <v>3.22</v>
      </c>
      <c r="K27" s="4">
        <f t="shared" si="0"/>
        <v>393.74160000000001</v>
      </c>
      <c r="L27" s="4">
        <f t="shared" si="1"/>
        <v>39.767000000000003</v>
      </c>
      <c r="M27" s="5">
        <v>74454.84985206589</v>
      </c>
      <c r="N27" s="5">
        <f t="shared" si="20"/>
        <v>7445.484985206589</v>
      </c>
      <c r="O27" s="5">
        <f t="shared" si="21"/>
        <v>189.0957162059226</v>
      </c>
      <c r="P27" s="5">
        <f t="shared" si="22"/>
        <v>26.875908427341386</v>
      </c>
      <c r="Q27" s="5">
        <f t="shared" si="16"/>
        <v>5.9000000000000003E-6</v>
      </c>
      <c r="R27" s="5">
        <f t="shared" si="3"/>
        <v>2.6000000000000001E-6</v>
      </c>
      <c r="S27" s="6">
        <f t="shared" si="23"/>
        <v>0.99888433527438503</v>
      </c>
      <c r="T27" s="6">
        <f t="shared" si="4"/>
        <v>5.1658723346171718E-4</v>
      </c>
      <c r="U27" s="9">
        <v>5980000</v>
      </c>
      <c r="V27" s="5">
        <v>303000</v>
      </c>
      <c r="W27" s="5">
        <v>4.0059423233471239E-2</v>
      </c>
      <c r="X27" s="11">
        <v>1.4999999999999999E-2</v>
      </c>
      <c r="Y27" s="3">
        <f t="shared" si="5"/>
        <v>600.89134850206858</v>
      </c>
      <c r="Z27" s="5">
        <f t="shared" si="6"/>
        <v>60.089134850206861</v>
      </c>
      <c r="AA27" s="9">
        <v>9830000000</v>
      </c>
      <c r="AB27" s="5">
        <v>818000000</v>
      </c>
      <c r="AC27" s="13">
        <f t="shared" si="7"/>
        <v>437.65597898080313</v>
      </c>
      <c r="AD27" s="13">
        <f t="shared" si="8"/>
        <v>42.639496798760185</v>
      </c>
      <c r="AE27" s="5">
        <f t="shared" si="9"/>
        <v>57997</v>
      </c>
      <c r="AF27" s="5">
        <f t="shared" si="10"/>
        <v>26009.682244118245</v>
      </c>
      <c r="AG27" s="5">
        <f t="shared" si="17"/>
        <v>5922003</v>
      </c>
      <c r="AH27" s="5">
        <f t="shared" si="18"/>
        <v>304114.29359771963</v>
      </c>
      <c r="AI27" s="9">
        <f t="shared" si="19"/>
        <v>5928617.3492482249</v>
      </c>
      <c r="AJ27" s="15">
        <f t="shared" si="14"/>
        <v>304469.4005029212</v>
      </c>
      <c r="AK27" s="15">
        <f t="shared" si="15"/>
        <v>608938.8010058424</v>
      </c>
      <c r="AL27" s="16">
        <f t="shared" si="24"/>
        <v>0.99140758348632518</v>
      </c>
    </row>
    <row r="28" spans="1:40" x14ac:dyDescent="0.35">
      <c r="A28" s="8" t="s">
        <v>97</v>
      </c>
      <c r="B28" s="6">
        <v>39.324869329999999</v>
      </c>
      <c r="C28" s="6">
        <v>175.55077109999999</v>
      </c>
      <c r="D28" s="12">
        <v>1567.5609999999999</v>
      </c>
      <c r="E28" s="13">
        <v>29</v>
      </c>
      <c r="F28" s="13">
        <v>145</v>
      </c>
      <c r="G28" s="6">
        <v>0.97858699999999998</v>
      </c>
      <c r="H28" s="14">
        <v>2.0708661417322838</v>
      </c>
      <c r="I28" s="14">
        <v>3.6140625000000002</v>
      </c>
      <c r="J28" s="14">
        <v>3.22</v>
      </c>
      <c r="K28" s="4">
        <f t="shared" si="0"/>
        <v>393.74160000000001</v>
      </c>
      <c r="L28" s="4">
        <f t="shared" si="1"/>
        <v>39.767000000000003</v>
      </c>
      <c r="M28" s="5">
        <v>74454.84985206589</v>
      </c>
      <c r="N28" s="5">
        <f>M28*0.1</f>
        <v>7445.484985206589</v>
      </c>
      <c r="O28" s="5">
        <f t="shared" si="21"/>
        <v>189.0957162059226</v>
      </c>
      <c r="P28" s="5">
        <f t="shared" si="22"/>
        <v>26.875908427341386</v>
      </c>
      <c r="Q28" s="5">
        <f t="shared" si="16"/>
        <v>5.9000000000000003E-6</v>
      </c>
      <c r="R28" s="5">
        <f t="shared" si="3"/>
        <v>2.6000000000000001E-6</v>
      </c>
      <c r="S28" s="6">
        <f t="shared" si="23"/>
        <v>0.99888433527438503</v>
      </c>
      <c r="T28" s="6">
        <f t="shared" si="4"/>
        <v>5.1658723346171718E-4</v>
      </c>
      <c r="U28" s="9"/>
      <c r="V28" s="5"/>
      <c r="W28" s="5"/>
      <c r="X28" s="11"/>
      <c r="Z28" s="5"/>
      <c r="AA28" s="9"/>
      <c r="AB28" s="5"/>
      <c r="AC28" s="13"/>
      <c r="AD28" s="13"/>
      <c r="AE28" s="5"/>
      <c r="AF28" s="5"/>
      <c r="AG28" s="5"/>
      <c r="AH28" s="5"/>
      <c r="AI28" s="9">
        <f>(AI27*0.27156+AI26*0.49551)/(0.27156+0.49551)</f>
        <v>6041538.0643077837</v>
      </c>
      <c r="AJ28" s="5">
        <f>(AJ27*0.27156+AJ26*0.49551)/(0.27156+0.49551)</f>
        <v>266736.06654787902</v>
      </c>
      <c r="AK28" s="15">
        <f t="shared" si="15"/>
        <v>533472.13309575804</v>
      </c>
      <c r="AL28" s="16"/>
    </row>
    <row r="29" spans="1:40" x14ac:dyDescent="0.35">
      <c r="A29" s="8" t="s">
        <v>26</v>
      </c>
      <c r="B29" s="6">
        <v>39.325057219999998</v>
      </c>
      <c r="C29" s="6">
        <v>175.55025209999999</v>
      </c>
      <c r="D29" s="12">
        <v>1567.393</v>
      </c>
      <c r="E29" s="13"/>
      <c r="F29" s="13"/>
      <c r="G29" s="6">
        <v>0.99745600000000001</v>
      </c>
      <c r="H29" s="14">
        <v>2.2716049382716048</v>
      </c>
      <c r="I29" s="14">
        <v>3.0301598039999997</v>
      </c>
      <c r="J29" s="14">
        <v>3.21</v>
      </c>
      <c r="K29" s="4">
        <f t="shared" si="0"/>
        <v>392.5188</v>
      </c>
      <c r="L29" s="4">
        <f t="shared" si="1"/>
        <v>39.643499999999996</v>
      </c>
      <c r="M29" s="5">
        <v>74454.84985206589</v>
      </c>
      <c r="N29" s="5">
        <f t="shared" si="20"/>
        <v>7445.484985206589</v>
      </c>
      <c r="O29" s="5">
        <f t="shared" si="21"/>
        <v>189.68479943397841</v>
      </c>
      <c r="P29" s="5">
        <f t="shared" si="22"/>
        <v>26.959633998766119</v>
      </c>
      <c r="Q29" s="5">
        <f t="shared" si="16"/>
        <v>5.9000000000000003E-6</v>
      </c>
      <c r="R29" s="5">
        <f t="shared" si="3"/>
        <v>2.6000000000000001E-6</v>
      </c>
      <c r="S29" s="6">
        <f t="shared" si="23"/>
        <v>0.99888085968333951</v>
      </c>
      <c r="T29" s="6">
        <f t="shared" si="4"/>
        <v>5.181965394849623E-4</v>
      </c>
      <c r="U29" s="9">
        <v>5910000</v>
      </c>
      <c r="V29" s="5">
        <v>288000</v>
      </c>
      <c r="W29" s="5">
        <v>4.0059423233471239E-2</v>
      </c>
      <c r="X29" s="11">
        <v>1.4999999999999999E-2</v>
      </c>
      <c r="Y29" s="3">
        <f t="shared" si="5"/>
        <v>600.89134850206858</v>
      </c>
      <c r="Z29" s="5">
        <f t="shared" si="6"/>
        <v>60.089134850206861</v>
      </c>
      <c r="AA29" s="9">
        <v>11300000000</v>
      </c>
      <c r="AB29" s="5">
        <v>620000000</v>
      </c>
      <c r="AC29" s="13">
        <f t="shared" si="7"/>
        <v>376.26535939390084</v>
      </c>
      <c r="AD29" s="13">
        <f t="shared" si="8"/>
        <v>27.611629716382502</v>
      </c>
      <c r="AE29" s="5">
        <f t="shared" si="9"/>
        <v>66670</v>
      </c>
      <c r="AF29" s="5">
        <f t="shared" si="10"/>
        <v>29606.846573047929</v>
      </c>
      <c r="AG29" s="5">
        <f t="shared" si="17"/>
        <v>5843330</v>
      </c>
      <c r="AH29" s="5">
        <f t="shared" si="18"/>
        <v>289517.81527912925</v>
      </c>
      <c r="AI29" s="9">
        <f t="shared" si="19"/>
        <v>5849876.8330113208</v>
      </c>
      <c r="AJ29" s="15">
        <f t="shared" si="14"/>
        <v>289858.07671294571</v>
      </c>
      <c r="AK29" s="15">
        <f t="shared" si="15"/>
        <v>579716.15342589142</v>
      </c>
      <c r="AL29" s="16">
        <f t="shared" si="24"/>
        <v>0.98982687529802382</v>
      </c>
    </row>
    <row r="30" spans="1:40" x14ac:dyDescent="0.35">
      <c r="A30" s="8" t="s">
        <v>27</v>
      </c>
      <c r="B30" s="6">
        <v>39.325039109999999</v>
      </c>
      <c r="C30" s="6">
        <v>175.5503023</v>
      </c>
      <c r="D30" s="12">
        <v>1567.2940000000001</v>
      </c>
      <c r="E30" s="13"/>
      <c r="F30" s="13"/>
      <c r="G30" s="6">
        <v>0.99745600000000001</v>
      </c>
      <c r="H30" s="14">
        <v>2.1886792452830188</v>
      </c>
      <c r="I30" s="14">
        <v>3.3752121209999997</v>
      </c>
      <c r="J30" s="14">
        <v>3.06</v>
      </c>
      <c r="K30" s="4">
        <f t="shared" si="0"/>
        <v>374.17680000000001</v>
      </c>
      <c r="L30" s="4">
        <f t="shared" si="1"/>
        <v>37.790999999999997</v>
      </c>
      <c r="M30" s="5">
        <v>74454.84985206589</v>
      </c>
      <c r="N30" s="5">
        <f t="shared" si="20"/>
        <v>7445.484985206589</v>
      </c>
      <c r="O30" s="5">
        <f t="shared" si="21"/>
        <v>198.98307391603618</v>
      </c>
      <c r="P30" s="5">
        <f t="shared" si="22"/>
        <v>28.281184684980143</v>
      </c>
      <c r="Q30" s="5">
        <f t="shared" si="16"/>
        <v>5.9000000000000003E-6</v>
      </c>
      <c r="R30" s="5">
        <f t="shared" si="3"/>
        <v>2.6000000000000001E-6</v>
      </c>
      <c r="S30" s="6">
        <f t="shared" si="23"/>
        <v>0.99882599986389542</v>
      </c>
      <c r="T30" s="6">
        <f t="shared" si="4"/>
        <v>5.4359833063618592E-4</v>
      </c>
      <c r="U30" s="9">
        <v>3080000</v>
      </c>
      <c r="V30" s="5">
        <v>156000</v>
      </c>
      <c r="W30" s="5">
        <v>4.0059423233471239E-2</v>
      </c>
      <c r="X30" s="11">
        <v>1.4999999999999999E-2</v>
      </c>
      <c r="Y30" s="3">
        <f t="shared" si="5"/>
        <v>600.89134850206858</v>
      </c>
      <c r="Z30" s="5">
        <f t="shared" si="6"/>
        <v>60.089134850206861</v>
      </c>
      <c r="AA30" s="9">
        <v>16400000000</v>
      </c>
      <c r="AB30" s="5">
        <v>682000000</v>
      </c>
      <c r="AC30" s="13">
        <f t="shared" si="7"/>
        <v>135.11142305667661</v>
      </c>
      <c r="AD30" s="13">
        <f t="shared" si="8"/>
        <v>8.8543860386159672</v>
      </c>
      <c r="AE30" s="5">
        <f t="shared" si="9"/>
        <v>96760</v>
      </c>
      <c r="AF30" s="5">
        <f t="shared" si="10"/>
        <v>42829.435747392243</v>
      </c>
      <c r="AG30" s="5">
        <f t="shared" si="17"/>
        <v>2983240</v>
      </c>
      <c r="AH30" s="5">
        <f t="shared" si="18"/>
        <v>161772.55813777566</v>
      </c>
      <c r="AI30" s="9">
        <f t="shared" si="19"/>
        <v>2986746.4407279245</v>
      </c>
      <c r="AJ30" s="15">
        <f t="shared" si="14"/>
        <v>161970.85912547473</v>
      </c>
      <c r="AK30" s="15">
        <f t="shared" si="15"/>
        <v>323941.71825094946</v>
      </c>
      <c r="AL30" s="16">
        <f t="shared" si="24"/>
        <v>0.96972287036620919</v>
      </c>
    </row>
    <row r="31" spans="1:40" x14ac:dyDescent="0.35">
      <c r="A31" s="8"/>
      <c r="B31" s="6"/>
      <c r="C31" s="6"/>
      <c r="D31" s="12"/>
      <c r="E31" s="13"/>
      <c r="F31" s="13"/>
      <c r="G31" s="6"/>
      <c r="H31" s="14"/>
      <c r="I31" s="14"/>
      <c r="J31" s="14"/>
      <c r="K31" s="4"/>
      <c r="L31" s="4"/>
      <c r="M31" s="5"/>
      <c r="N31" s="5"/>
      <c r="O31" s="5"/>
      <c r="P31" s="5"/>
      <c r="Q31" s="5"/>
      <c r="R31" s="5"/>
      <c r="S31" s="6"/>
      <c r="T31" s="17"/>
      <c r="U31" s="9"/>
      <c r="V31" s="5"/>
      <c r="W31" s="5"/>
      <c r="X31" s="11"/>
      <c r="Z31" s="5"/>
      <c r="AA31" s="9"/>
      <c r="AB31" s="5"/>
      <c r="AC31" s="13"/>
      <c r="AD31" s="13"/>
      <c r="AE31" s="5"/>
      <c r="AF31" s="5"/>
      <c r="AG31" s="5"/>
      <c r="AH31" s="5"/>
      <c r="AJ31" s="15"/>
      <c r="AK31" s="15"/>
      <c r="AL31" s="16"/>
    </row>
    <row r="32" spans="1:40" x14ac:dyDescent="0.35">
      <c r="A32" s="8" t="s">
        <v>29</v>
      </c>
      <c r="B32" s="6">
        <v>39.338078930000002</v>
      </c>
      <c r="C32" s="6">
        <v>175.58729270000001</v>
      </c>
      <c r="D32" s="12">
        <v>1369.76</v>
      </c>
      <c r="E32" s="13">
        <v>15</v>
      </c>
      <c r="F32" s="13">
        <v>3</v>
      </c>
      <c r="G32" s="6">
        <v>0.99582499999999996</v>
      </c>
      <c r="H32" s="14">
        <v>2.389380530973451</v>
      </c>
      <c r="I32" s="14">
        <v>4.832578947</v>
      </c>
      <c r="J32" s="14">
        <v>2.94</v>
      </c>
      <c r="K32" s="4">
        <f t="shared" si="0"/>
        <v>359.50319999999999</v>
      </c>
      <c r="L32" s="4">
        <f t="shared" si="1"/>
        <v>36.308999999999997</v>
      </c>
      <c r="M32" s="5">
        <v>101035.87573890231</v>
      </c>
      <c r="N32" s="5">
        <f>M32*0.1</f>
        <v>10103.587573890232</v>
      </c>
      <c r="O32" s="5">
        <f>M32/K32</f>
        <v>281.04304979455623</v>
      </c>
      <c r="P32" s="5">
        <f>O32*SQRT((N32/M32)^2+(L32/K32)^2)</f>
        <v>39.944253746043692</v>
      </c>
      <c r="Q32" s="5">
        <f t="shared" si="16"/>
        <v>5.9000000000000003E-6</v>
      </c>
      <c r="R32" s="5">
        <f t="shared" si="3"/>
        <v>2.6000000000000001E-6</v>
      </c>
      <c r="S32" s="6">
        <f>1-M32/K32*Q32</f>
        <v>0.99834184600621212</v>
      </c>
      <c r="T32" s="6">
        <f t="shared" si="4"/>
        <v>7.6777652339258119E-4</v>
      </c>
      <c r="U32" s="9">
        <v>16200000</v>
      </c>
      <c r="V32" s="5">
        <v>670000</v>
      </c>
      <c r="W32" s="5">
        <v>6.542387639946369E-2</v>
      </c>
      <c r="X32" s="11">
        <v>4.4999999999999998E-2</v>
      </c>
      <c r="Y32" s="3">
        <f t="shared" si="5"/>
        <v>2944.0744379758662</v>
      </c>
      <c r="Z32" s="5">
        <f t="shared" si="6"/>
        <v>294.40744379758661</v>
      </c>
      <c r="AA32" s="9">
        <v>24600000000</v>
      </c>
      <c r="AB32" s="5">
        <v>844000000</v>
      </c>
      <c r="AC32" s="13">
        <f t="shared" si="7"/>
        <v>473.76732760133359</v>
      </c>
      <c r="AD32" s="13">
        <f t="shared" si="8"/>
        <v>25.458502561116717</v>
      </c>
      <c r="AE32" s="5">
        <f t="shared" si="9"/>
        <v>145140</v>
      </c>
      <c r="AF32" s="5">
        <f t="shared" si="10"/>
        <v>64153.55030050948</v>
      </c>
      <c r="AG32" s="5">
        <f t="shared" si="17"/>
        <v>16054860</v>
      </c>
      <c r="AH32" s="5">
        <f t="shared" si="18"/>
        <v>673064.39366241917</v>
      </c>
      <c r="AI32" s="9">
        <f t="shared" si="19"/>
        <v>16081525.645976078</v>
      </c>
      <c r="AJ32" s="15">
        <f t="shared" si="14"/>
        <v>674295.72010276571</v>
      </c>
      <c r="AK32" s="15">
        <f t="shared" si="15"/>
        <v>1348591.4402055314</v>
      </c>
      <c r="AL32" s="16">
        <f>AI32/U32</f>
        <v>0.99268676827012825</v>
      </c>
      <c r="AN32">
        <v>16081525.645976078</v>
      </c>
    </row>
    <row r="33" spans="1:40" x14ac:dyDescent="0.35">
      <c r="A33" s="8" t="s">
        <v>30</v>
      </c>
      <c r="B33" s="6">
        <v>39.338379519999997</v>
      </c>
      <c r="C33" s="6">
        <v>175.58797709999999</v>
      </c>
      <c r="D33" s="12">
        <v>1372.8789999999999</v>
      </c>
      <c r="E33" s="13"/>
      <c r="F33" s="13"/>
      <c r="G33" s="6">
        <v>0.99985599999999997</v>
      </c>
      <c r="H33" s="14">
        <v>2.0609756097560976</v>
      </c>
      <c r="I33" s="14">
        <v>4.2083333330000006</v>
      </c>
      <c r="J33" s="14">
        <v>2.95</v>
      </c>
      <c r="K33" s="4">
        <f t="shared" si="0"/>
        <v>360.726</v>
      </c>
      <c r="L33" s="4">
        <f t="shared" si="1"/>
        <v>36.432500000000005</v>
      </c>
      <c r="M33" s="5">
        <v>101035.87573890231</v>
      </c>
      <c r="N33" s="5">
        <f>M33*0.1</f>
        <v>10103.587573890232</v>
      </c>
      <c r="O33" s="5">
        <f>M33/K33</f>
        <v>280.09036149016794</v>
      </c>
      <c r="P33" s="5">
        <f>O33*SQRT((N33/M33)^2+(L33/K33)^2)</f>
        <v>39.808849496057107</v>
      </c>
      <c r="Q33" s="5">
        <f t="shared" si="16"/>
        <v>5.9000000000000003E-6</v>
      </c>
      <c r="R33" s="5">
        <f t="shared" si="3"/>
        <v>2.6000000000000001E-6</v>
      </c>
      <c r="S33" s="6">
        <f>1-M33/K33*Q33</f>
        <v>0.99834746686720799</v>
      </c>
      <c r="T33" s="6">
        <f t="shared" si="4"/>
        <v>7.6517389110989449E-4</v>
      </c>
      <c r="U33" s="9">
        <v>15300000</v>
      </c>
      <c r="V33" s="5">
        <v>633000</v>
      </c>
      <c r="W33" s="5">
        <v>6.542387639946369E-2</v>
      </c>
      <c r="X33" s="11">
        <v>4.4999999999999998E-2</v>
      </c>
      <c r="Y33" s="3">
        <f t="shared" si="5"/>
        <v>2944.0744379758662</v>
      </c>
      <c r="Z33" s="5">
        <f t="shared" si="6"/>
        <v>294.40744379758661</v>
      </c>
      <c r="AA33" s="9">
        <v>18900000000</v>
      </c>
      <c r="AB33" s="5">
        <v>653000000</v>
      </c>
      <c r="AC33" s="13">
        <f t="shared" si="7"/>
        <v>582.39122987324424</v>
      </c>
      <c r="AD33" s="13">
        <f t="shared" si="8"/>
        <v>31.391960173017154</v>
      </c>
      <c r="AE33" s="5">
        <f t="shared" si="9"/>
        <v>111510</v>
      </c>
      <c r="AF33" s="5">
        <f t="shared" si="10"/>
        <v>49290.799316809622</v>
      </c>
      <c r="AG33" s="5">
        <f t="shared" si="17"/>
        <v>15188490</v>
      </c>
      <c r="AH33" s="5">
        <f t="shared" si="18"/>
        <v>634916.20147645462</v>
      </c>
      <c r="AI33" s="9">
        <f t="shared" si="19"/>
        <v>15213631.029346067</v>
      </c>
      <c r="AJ33" s="15">
        <f t="shared" si="14"/>
        <v>636074.04442454071</v>
      </c>
      <c r="AK33" s="15">
        <f t="shared" si="15"/>
        <v>1272148.0888490814</v>
      </c>
      <c r="AL33" s="16">
        <f>AI33/U33</f>
        <v>0.99435496923830502</v>
      </c>
      <c r="AN33">
        <v>15213631.029346067</v>
      </c>
    </row>
    <row r="34" spans="1:40" x14ac:dyDescent="0.35">
      <c r="A34" s="8" t="s">
        <v>31</v>
      </c>
      <c r="B34" s="6">
        <v>39.338435199999999</v>
      </c>
      <c r="C34" s="6">
        <v>175.58791189999999</v>
      </c>
      <c r="D34" s="12">
        <v>1372.4690000000001</v>
      </c>
      <c r="E34" s="13"/>
      <c r="F34" s="13"/>
      <c r="G34" s="6">
        <v>0.99943199999999999</v>
      </c>
      <c r="H34" s="14">
        <v>2.1509433962264151</v>
      </c>
      <c r="I34" s="14">
        <v>3.2168888889999998</v>
      </c>
      <c r="J34" s="14">
        <v>2.93</v>
      </c>
      <c r="K34" s="4">
        <f t="shared" si="0"/>
        <v>358.28040000000004</v>
      </c>
      <c r="L34" s="4">
        <f t="shared" si="1"/>
        <v>36.185499999999998</v>
      </c>
      <c r="M34" s="5">
        <v>101035.87573890231</v>
      </c>
      <c r="N34" s="5">
        <f>M34*0.1</f>
        <v>10103.587573890232</v>
      </c>
      <c r="O34" s="5">
        <f>M34/K34</f>
        <v>282.00224109078334</v>
      </c>
      <c r="P34" s="5">
        <f>O34*SQRT((N34/M34)^2+(L34/K34)^2)</f>
        <v>40.080582257122323</v>
      </c>
      <c r="Q34" s="5">
        <f t="shared" si="16"/>
        <v>5.9000000000000003E-6</v>
      </c>
      <c r="R34" s="5">
        <f t="shared" si="3"/>
        <v>2.6000000000000001E-6</v>
      </c>
      <c r="S34" s="6">
        <f>1-M34/K34*Q34</f>
        <v>0.99833618677756442</v>
      </c>
      <c r="T34" s="6">
        <f t="shared" si="4"/>
        <v>7.703969210833408E-4</v>
      </c>
      <c r="U34" s="9">
        <v>14600000</v>
      </c>
      <c r="V34" s="5">
        <v>618000</v>
      </c>
      <c r="W34" s="5">
        <v>6.542387639946369E-2</v>
      </c>
      <c r="X34" s="11">
        <v>4.4999999999999998E-2</v>
      </c>
      <c r="Y34" s="3">
        <f t="shared" si="5"/>
        <v>2944.0744379758662</v>
      </c>
      <c r="Z34" s="5">
        <f t="shared" si="6"/>
        <v>294.40744379758661</v>
      </c>
      <c r="AA34" s="9">
        <v>17900000000</v>
      </c>
      <c r="AB34" s="5">
        <v>773000000</v>
      </c>
      <c r="AC34" s="13">
        <f t="shared" si="7"/>
        <v>586.7931353241429</v>
      </c>
      <c r="AD34" s="13">
        <f t="shared" si="8"/>
        <v>35.483343836293635</v>
      </c>
      <c r="AE34" s="5">
        <f t="shared" si="9"/>
        <v>105610</v>
      </c>
      <c r="AF34" s="5">
        <f t="shared" si="10"/>
        <v>46762.92959695746</v>
      </c>
      <c r="AG34" s="5">
        <f t="shared" si="17"/>
        <v>14494390</v>
      </c>
      <c r="AH34" s="5">
        <f t="shared" si="18"/>
        <v>619766.70738632779</v>
      </c>
      <c r="AI34" s="9">
        <f t="shared" si="19"/>
        <v>14518546.149053337</v>
      </c>
      <c r="AJ34" s="15">
        <f t="shared" si="14"/>
        <v>620900.69121114956</v>
      </c>
      <c r="AK34" s="15">
        <f t="shared" si="15"/>
        <v>1241801.3824222991</v>
      </c>
      <c r="AL34" s="16">
        <f>AI34/U34</f>
        <v>0.99442096911324229</v>
      </c>
      <c r="AN34">
        <v>14518546.149053337</v>
      </c>
    </row>
    <row r="35" spans="1:40" x14ac:dyDescent="0.35">
      <c r="A35" s="8" t="s">
        <v>32</v>
      </c>
      <c r="B35" s="6">
        <v>39.338386419999999</v>
      </c>
      <c r="C35" s="6">
        <v>175.58796369999999</v>
      </c>
      <c r="D35" s="12">
        <v>1372.578</v>
      </c>
      <c r="E35" s="13"/>
      <c r="F35" s="13"/>
      <c r="G35" s="6">
        <v>0.99530799999999997</v>
      </c>
      <c r="H35" s="14">
        <v>2.4672131147540988</v>
      </c>
      <c r="I35" s="14">
        <v>3.4970570990000001</v>
      </c>
      <c r="J35" s="14">
        <v>2.94</v>
      </c>
      <c r="K35" s="4">
        <f t="shared" si="0"/>
        <v>359.50319999999999</v>
      </c>
      <c r="L35" s="4">
        <f t="shared" si="1"/>
        <v>36.308999999999997</v>
      </c>
      <c r="M35" s="5">
        <v>101035.87573890231</v>
      </c>
      <c r="N35" s="5">
        <f>M35*0.1</f>
        <v>10103.587573890232</v>
      </c>
      <c r="O35" s="5">
        <f>M35/K35</f>
        <v>281.04304979455623</v>
      </c>
      <c r="P35" s="5">
        <f>O35*SQRT((N35/M35)^2+(L35/K35)^2)</f>
        <v>39.944253746043692</v>
      </c>
      <c r="Q35" s="5">
        <f t="shared" si="16"/>
        <v>5.9000000000000003E-6</v>
      </c>
      <c r="R35" s="5">
        <f t="shared" si="3"/>
        <v>2.6000000000000001E-6</v>
      </c>
      <c r="S35" s="6">
        <f>1-M35/K35*Q35</f>
        <v>0.99834184600621212</v>
      </c>
      <c r="T35" s="6">
        <f t="shared" si="4"/>
        <v>7.6777652339258119E-4</v>
      </c>
      <c r="U35" s="9">
        <v>14800000</v>
      </c>
      <c r="V35" s="5">
        <v>624000</v>
      </c>
      <c r="W35" s="5">
        <v>6.542387639946369E-2</v>
      </c>
      <c r="X35" s="11">
        <v>4.4999999999999998E-2</v>
      </c>
      <c r="Y35" s="3">
        <f t="shared" si="5"/>
        <v>2944.0744379758662</v>
      </c>
      <c r="Z35" s="5">
        <f t="shared" si="6"/>
        <v>294.40744379758661</v>
      </c>
      <c r="AA35" s="9">
        <v>26100000000</v>
      </c>
      <c r="AB35" s="5">
        <v>951000000</v>
      </c>
      <c r="AC35" s="13">
        <f t="shared" si="7"/>
        <v>407.94950246699193</v>
      </c>
      <c r="AD35" s="13">
        <f t="shared" si="8"/>
        <v>22.733027560104802</v>
      </c>
      <c r="AE35" s="5">
        <f t="shared" si="9"/>
        <v>153990</v>
      </c>
      <c r="AF35" s="5">
        <f t="shared" si="10"/>
        <v>68091.569219764657</v>
      </c>
      <c r="AG35" s="5">
        <f t="shared" si="17"/>
        <v>14646010</v>
      </c>
      <c r="AH35" s="5">
        <f t="shared" si="18"/>
        <v>627704.11962867505</v>
      </c>
      <c r="AI35" s="9">
        <f t="shared" si="19"/>
        <v>14670335.675690856</v>
      </c>
      <c r="AJ35" s="15">
        <f t="shared" si="14"/>
        <v>628847.89476714877</v>
      </c>
      <c r="AK35" s="15">
        <f t="shared" si="15"/>
        <v>1257695.7895342975</v>
      </c>
      <c r="AL35" s="16">
        <f>AI35/U35</f>
        <v>0.99123889700613887</v>
      </c>
      <c r="AN35">
        <v>14670335.675690856</v>
      </c>
    </row>
    <row r="36" spans="1:40" x14ac:dyDescent="0.35">
      <c r="A36" s="8"/>
      <c r="B36" s="6"/>
      <c r="C36" s="6"/>
      <c r="D36" s="12"/>
      <c r="E36" s="13"/>
      <c r="F36" s="13"/>
      <c r="G36" s="6"/>
      <c r="K36" s="4"/>
      <c r="L36" s="4"/>
      <c r="M36" s="5"/>
      <c r="N36" s="5"/>
      <c r="O36" s="5"/>
      <c r="P36" s="5"/>
      <c r="Q36" s="5"/>
      <c r="R36" s="5"/>
      <c r="S36" s="6"/>
      <c r="T36" s="17"/>
      <c r="U36" s="9"/>
      <c r="V36" s="5"/>
      <c r="W36" s="5"/>
      <c r="X36" s="11"/>
      <c r="Z36" s="5"/>
      <c r="AA36" s="9"/>
      <c r="AB36" s="5"/>
      <c r="AC36" s="13"/>
      <c r="AD36" s="13"/>
      <c r="AE36" s="5"/>
      <c r="AF36" s="5"/>
      <c r="AG36" s="5"/>
      <c r="AH36" s="5"/>
      <c r="AJ36" s="15"/>
      <c r="AK36" s="15"/>
      <c r="AL36" s="16"/>
    </row>
    <row r="37" spans="1:40" x14ac:dyDescent="0.35">
      <c r="A37" s="8" t="s">
        <v>33</v>
      </c>
      <c r="B37" s="6">
        <v>39.312508510000001</v>
      </c>
      <c r="C37" s="6">
        <v>175.6115619</v>
      </c>
      <c r="D37" s="12">
        <v>1570.713</v>
      </c>
      <c r="E37" s="13">
        <v>14</v>
      </c>
      <c r="F37" s="13">
        <v>190</v>
      </c>
      <c r="G37" s="6">
        <v>0.99635399999999996</v>
      </c>
      <c r="H37" s="14">
        <v>2.4534161490683228</v>
      </c>
      <c r="I37" s="14">
        <v>2.8806190480000002</v>
      </c>
      <c r="J37" s="3">
        <v>3.39</v>
      </c>
      <c r="K37" s="4">
        <f t="shared" si="0"/>
        <v>414.5292</v>
      </c>
      <c r="L37" s="4">
        <f t="shared" si="1"/>
        <v>41.866500000000002</v>
      </c>
      <c r="M37" s="5">
        <v>129146.27827021139</v>
      </c>
      <c r="N37" s="5">
        <f>M37*0.1</f>
        <v>12914.627827021141</v>
      </c>
      <c r="O37" s="5">
        <f t="shared" ref="O37:O100" si="25">M37/K37</f>
        <v>311.54929078629777</v>
      </c>
      <c r="P37" s="5">
        <f t="shared" ref="P37:P100" si="26">O37*SQRT((N37/M37)^2+(L37/K37)^2)</f>
        <v>44.280062910877511</v>
      </c>
      <c r="Q37" s="5">
        <f t="shared" si="16"/>
        <v>5.9000000000000003E-6</v>
      </c>
      <c r="R37" s="5">
        <f t="shared" si="3"/>
        <v>2.6000000000000001E-6</v>
      </c>
      <c r="S37" s="6">
        <f>1-M37/K37*Q37</f>
        <v>0.99816185918436084</v>
      </c>
      <c r="T37" s="6">
        <f t="shared" si="4"/>
        <v>8.511159821251033E-4</v>
      </c>
      <c r="U37" s="9">
        <v>20000000</v>
      </c>
      <c r="V37" s="5">
        <v>831000</v>
      </c>
      <c r="W37" s="5">
        <v>8.1779424323608435E-2</v>
      </c>
      <c r="X37" s="11">
        <v>0.05</v>
      </c>
      <c r="Y37" s="3">
        <f t="shared" si="5"/>
        <v>4088.9712161804218</v>
      </c>
      <c r="Z37" s="5">
        <f t="shared" si="6"/>
        <v>408.89712161804221</v>
      </c>
      <c r="AA37" s="9">
        <v>48200000000</v>
      </c>
      <c r="AB37" s="5">
        <v>1460000000</v>
      </c>
      <c r="AC37" s="13">
        <f t="shared" si="7"/>
        <v>298.51637362309322</v>
      </c>
      <c r="AD37" s="13">
        <f t="shared" si="8"/>
        <v>15.34941541775447</v>
      </c>
      <c r="AE37" s="5">
        <f t="shared" si="9"/>
        <v>284380</v>
      </c>
      <c r="AF37" s="5">
        <f t="shared" si="10"/>
        <v>125615.69725157761</v>
      </c>
      <c r="AG37" s="5">
        <f t="shared" si="17"/>
        <v>19715620</v>
      </c>
      <c r="AH37" s="5">
        <f t="shared" si="18"/>
        <v>840440.54126154573</v>
      </c>
      <c r="AI37" s="9">
        <f t="shared" si="19"/>
        <v>19751926.822880656</v>
      </c>
      <c r="AJ37" s="15">
        <f t="shared" si="14"/>
        <v>842156.66248812259</v>
      </c>
      <c r="AK37" s="15">
        <f t="shared" si="15"/>
        <v>1684313.3249762452</v>
      </c>
      <c r="AL37" s="16">
        <f>AI37/U37</f>
        <v>0.98759634114403283</v>
      </c>
      <c r="AN37">
        <v>19751926.822880656</v>
      </c>
    </row>
    <row r="38" spans="1:40" x14ac:dyDescent="0.35">
      <c r="A38" s="8" t="s">
        <v>34</v>
      </c>
      <c r="B38" s="6">
        <v>39.312502590000001</v>
      </c>
      <c r="C38" s="6">
        <v>175.6116207</v>
      </c>
      <c r="D38" s="12">
        <v>1569.3240000000001</v>
      </c>
      <c r="E38" s="13"/>
      <c r="F38" s="13"/>
      <c r="G38" s="6">
        <v>0.99770499999999995</v>
      </c>
      <c r="H38" s="14">
        <v>2.2083333333333335</v>
      </c>
      <c r="I38" s="14">
        <v>3.1948125000000003</v>
      </c>
      <c r="J38" s="14">
        <v>3.34</v>
      </c>
      <c r="K38" s="4">
        <f t="shared" si="0"/>
        <v>408.41519999999997</v>
      </c>
      <c r="L38" s="4">
        <f t="shared" si="1"/>
        <v>41.248999999999995</v>
      </c>
      <c r="M38" s="5">
        <v>129146.27827021139</v>
      </c>
      <c r="N38" s="5">
        <f>M38*0.1</f>
        <v>12914.627827021141</v>
      </c>
      <c r="O38" s="5">
        <f t="shared" si="25"/>
        <v>316.21320232501483</v>
      </c>
      <c r="P38" s="5">
        <f t="shared" si="26"/>
        <v>44.942938104154123</v>
      </c>
      <c r="Q38" s="5">
        <f t="shared" si="16"/>
        <v>5.9000000000000003E-6</v>
      </c>
      <c r="R38" s="5">
        <f t="shared" si="3"/>
        <v>2.6000000000000001E-6</v>
      </c>
      <c r="S38" s="6">
        <f>1-M38/K38*Q38</f>
        <v>0.99813434210628238</v>
      </c>
      <c r="T38" s="6">
        <f t="shared" si="4"/>
        <v>8.6385723934254502E-4</v>
      </c>
      <c r="U38" s="9">
        <v>24100000</v>
      </c>
      <c r="V38" s="5">
        <v>1180000</v>
      </c>
      <c r="W38" s="5">
        <v>8.1779424323608435E-2</v>
      </c>
      <c r="X38" s="11">
        <v>0.05</v>
      </c>
      <c r="Y38" s="3">
        <f t="shared" si="5"/>
        <v>4088.9712161804218</v>
      </c>
      <c r="Z38" s="5">
        <f t="shared" si="6"/>
        <v>408.89712161804221</v>
      </c>
      <c r="AA38" s="9">
        <v>95600000000</v>
      </c>
      <c r="AB38" s="5">
        <v>2710000000</v>
      </c>
      <c r="AC38" s="13">
        <f t="shared" si="7"/>
        <v>181.36118720086691</v>
      </c>
      <c r="AD38" s="13">
        <f t="shared" si="8"/>
        <v>10.260796584391098</v>
      </c>
      <c r="AE38" s="5">
        <f t="shared" si="9"/>
        <v>564040</v>
      </c>
      <c r="AF38" s="5">
        <f t="shared" si="10"/>
        <v>249073.72748043903</v>
      </c>
      <c r="AG38" s="5">
        <f t="shared" si="17"/>
        <v>23535960</v>
      </c>
      <c r="AH38" s="5">
        <f t="shared" si="18"/>
        <v>1206000.7138144653</v>
      </c>
      <c r="AI38" s="9">
        <f t="shared" si="19"/>
        <v>23579952.123813275</v>
      </c>
      <c r="AJ38" s="15">
        <f t="shared" si="14"/>
        <v>1208427.2386274615</v>
      </c>
      <c r="AK38" s="15">
        <f t="shared" si="15"/>
        <v>2416854.477254923</v>
      </c>
      <c r="AL38" s="16">
        <f>AI38/U38</f>
        <v>0.9784212499507583</v>
      </c>
      <c r="AN38">
        <v>23579952.123813275</v>
      </c>
    </row>
    <row r="39" spans="1:40" x14ac:dyDescent="0.35">
      <c r="A39" s="8"/>
      <c r="B39" s="6"/>
      <c r="C39" s="6"/>
      <c r="D39" s="12"/>
      <c r="E39" s="13"/>
      <c r="F39" s="13"/>
      <c r="G39" s="6"/>
      <c r="K39" s="4"/>
      <c r="L39" s="4"/>
      <c r="M39" s="5"/>
      <c r="N39" s="5"/>
      <c r="O39" s="5"/>
      <c r="P39" s="5"/>
      <c r="Q39" s="5"/>
      <c r="R39" s="5"/>
      <c r="S39" s="6"/>
      <c r="T39" s="17"/>
      <c r="U39" s="9"/>
      <c r="V39" s="5"/>
      <c r="W39" s="5"/>
      <c r="X39" s="11"/>
      <c r="Z39" s="5"/>
      <c r="AA39" s="9"/>
      <c r="AB39" s="5"/>
      <c r="AC39" s="13"/>
      <c r="AD39" s="13"/>
      <c r="AE39" s="5"/>
      <c r="AF39" s="5"/>
      <c r="AG39" s="5"/>
      <c r="AH39" s="5"/>
      <c r="AJ39" s="15"/>
      <c r="AK39" s="15"/>
      <c r="AL39" s="16"/>
    </row>
    <row r="40" spans="1:40" x14ac:dyDescent="0.35">
      <c r="A40" s="8" t="s">
        <v>35</v>
      </c>
      <c r="B40" s="6">
        <v>39.316884279999996</v>
      </c>
      <c r="C40" s="6">
        <v>175.51430450000001</v>
      </c>
      <c r="D40" s="12">
        <v>1437.04</v>
      </c>
      <c r="E40" s="13"/>
      <c r="F40" s="13"/>
      <c r="G40" s="6">
        <v>0.97075800000000001</v>
      </c>
      <c r="H40" s="14">
        <v>2.1523809523809523</v>
      </c>
      <c r="I40" s="14">
        <v>3.0257307689999999</v>
      </c>
      <c r="J40" s="14">
        <v>2.89</v>
      </c>
      <c r="K40" s="4">
        <f t="shared" si="0"/>
        <v>353.38920000000002</v>
      </c>
      <c r="L40" s="4">
        <f t="shared" si="1"/>
        <v>35.691499999999998</v>
      </c>
      <c r="M40" s="5">
        <v>114222.41599338636</v>
      </c>
      <c r="N40" s="5">
        <f>M40*0.1</f>
        <v>11422.241599338637</v>
      </c>
      <c r="O40" s="5">
        <f t="shared" si="25"/>
        <v>323.21988332803141</v>
      </c>
      <c r="P40" s="5">
        <f t="shared" si="26"/>
        <v>45.93878782933561</v>
      </c>
      <c r="Q40" s="5">
        <f t="shared" si="16"/>
        <v>5.9000000000000003E-6</v>
      </c>
      <c r="R40" s="5">
        <f t="shared" si="3"/>
        <v>2.6000000000000001E-6</v>
      </c>
      <c r="S40" s="6">
        <f>1-M40/K40*Q40</f>
        <v>0.99809300268836465</v>
      </c>
      <c r="T40" s="6">
        <f t="shared" si="4"/>
        <v>8.8299866691013439E-4</v>
      </c>
      <c r="U40" s="9">
        <v>4920000</v>
      </c>
      <c r="V40" s="5">
        <v>263000</v>
      </c>
      <c r="W40" s="5">
        <v>7.2900962334602665E-2</v>
      </c>
      <c r="X40" s="11">
        <v>1.2999999999999999E-2</v>
      </c>
      <c r="Y40" s="3">
        <f t="shared" si="5"/>
        <v>947.71251034983459</v>
      </c>
      <c r="Z40" s="5">
        <f t="shared" si="6"/>
        <v>94.771251034983464</v>
      </c>
      <c r="AA40" s="9">
        <v>19300000000</v>
      </c>
      <c r="AB40" s="5">
        <v>731000000</v>
      </c>
      <c r="AC40" s="13">
        <f t="shared" si="7"/>
        <v>183.3973235919037</v>
      </c>
      <c r="AD40" s="13">
        <f t="shared" si="8"/>
        <v>12.01501938591468</v>
      </c>
      <c r="AE40" s="5">
        <f t="shared" si="9"/>
        <v>113870</v>
      </c>
      <c r="AF40" s="5">
        <f t="shared" si="10"/>
        <v>50365.002793705869</v>
      </c>
      <c r="AG40" s="5">
        <f t="shared" si="17"/>
        <v>4806130</v>
      </c>
      <c r="AH40" s="5">
        <f t="shared" si="18"/>
        <v>267779.07593090617</v>
      </c>
      <c r="AI40" s="9">
        <f t="shared" si="19"/>
        <v>4815312.7885424336</v>
      </c>
      <c r="AJ40" s="15">
        <f t="shared" si="14"/>
        <v>268324.52484397666</v>
      </c>
      <c r="AK40" s="15">
        <f t="shared" si="15"/>
        <v>536649.04968795332</v>
      </c>
      <c r="AL40" s="16">
        <f>AI40/U40</f>
        <v>0.97872211149236454</v>
      </c>
    </row>
    <row r="41" spans="1:40" x14ac:dyDescent="0.35">
      <c r="A41" s="8" t="s">
        <v>36</v>
      </c>
      <c r="B41" s="6">
        <v>39.316758290000003</v>
      </c>
      <c r="C41" s="6">
        <v>175.5145589</v>
      </c>
      <c r="D41" s="12">
        <v>1434.837</v>
      </c>
      <c r="E41" s="13"/>
      <c r="F41" s="13"/>
      <c r="G41" s="6">
        <v>0.99120799999999998</v>
      </c>
      <c r="H41" s="14">
        <v>1.8125</v>
      </c>
      <c r="I41" s="14">
        <v>3.7746515449999998</v>
      </c>
      <c r="J41" s="3">
        <v>2.85</v>
      </c>
      <c r="K41" s="4">
        <f t="shared" si="0"/>
        <v>348.49799999999999</v>
      </c>
      <c r="L41" s="4">
        <f t="shared" si="1"/>
        <v>35.197499999999998</v>
      </c>
      <c r="M41" s="5">
        <v>114222.41599338636</v>
      </c>
      <c r="N41" s="5">
        <f>M41*0.1</f>
        <v>11422.241599338637</v>
      </c>
      <c r="O41" s="5">
        <f t="shared" si="25"/>
        <v>327.75630274316165</v>
      </c>
      <c r="P41" s="5">
        <f t="shared" si="26"/>
        <v>46.583542746238571</v>
      </c>
      <c r="Q41" s="5">
        <f t="shared" si="16"/>
        <v>5.9000000000000003E-6</v>
      </c>
      <c r="R41" s="5">
        <f t="shared" si="3"/>
        <v>2.6000000000000001E-6</v>
      </c>
      <c r="S41" s="6">
        <f>1-M41/K41*Q41</f>
        <v>0.99806623781381532</v>
      </c>
      <c r="T41" s="6">
        <f t="shared" si="4"/>
        <v>8.9539163065624147E-4</v>
      </c>
      <c r="U41" s="9">
        <v>4000000</v>
      </c>
      <c r="V41" s="5">
        <v>223000</v>
      </c>
      <c r="W41" s="5">
        <v>7.2900962334602665E-2</v>
      </c>
      <c r="X41" s="11">
        <v>1.2999999999999999E-2</v>
      </c>
      <c r="Y41" s="3">
        <f t="shared" si="5"/>
        <v>947.71251034983459</v>
      </c>
      <c r="Z41" s="5">
        <f t="shared" si="6"/>
        <v>94.771251034983464</v>
      </c>
      <c r="AA41" s="9">
        <v>21900000000</v>
      </c>
      <c r="AB41" s="5">
        <v>931000000</v>
      </c>
      <c r="AC41" s="13">
        <f t="shared" si="7"/>
        <v>131.40172793272231</v>
      </c>
      <c r="AD41" s="13">
        <f t="shared" si="8"/>
        <v>9.212454116612987</v>
      </c>
      <c r="AE41" s="5">
        <f t="shared" si="9"/>
        <v>129210</v>
      </c>
      <c r="AF41" s="5">
        <f t="shared" si="10"/>
        <v>57204.331570345261</v>
      </c>
      <c r="AG41" s="5">
        <f t="shared" si="17"/>
        <v>3870790</v>
      </c>
      <c r="AH41" s="5">
        <f t="shared" si="18"/>
        <v>230220.18927628826</v>
      </c>
      <c r="AI41" s="9">
        <f t="shared" si="19"/>
        <v>3878289.6899494943</v>
      </c>
      <c r="AJ41" s="15">
        <f t="shared" si="14"/>
        <v>230692.48204359575</v>
      </c>
      <c r="AK41" s="15">
        <f t="shared" si="15"/>
        <v>461384.9640871915</v>
      </c>
      <c r="AL41" s="16">
        <f>AI41/U41</f>
        <v>0.96957242248737363</v>
      </c>
    </row>
    <row r="42" spans="1:40" x14ac:dyDescent="0.35">
      <c r="A42" s="8" t="s">
        <v>37</v>
      </c>
      <c r="B42" s="6">
        <v>39.316709959999997</v>
      </c>
      <c r="C42" s="6">
        <v>175.5146421</v>
      </c>
      <c r="D42" s="12">
        <v>1433.79</v>
      </c>
      <c r="E42" s="13">
        <v>11</v>
      </c>
      <c r="F42" s="13">
        <v>180</v>
      </c>
      <c r="G42" s="6">
        <v>0.98732699999999995</v>
      </c>
      <c r="H42" s="14">
        <v>1.9459459459459458</v>
      </c>
      <c r="I42" s="14">
        <v>3.5721764710000001</v>
      </c>
      <c r="J42" s="14">
        <v>2.86</v>
      </c>
      <c r="K42" s="4">
        <f t="shared" si="0"/>
        <v>349.7208</v>
      </c>
      <c r="L42" s="4">
        <f t="shared" si="1"/>
        <v>35.320999999999998</v>
      </c>
      <c r="M42" s="5">
        <v>114222.41599338636</v>
      </c>
      <c r="N42" s="5">
        <f>M42*0.1</f>
        <v>11422.241599338637</v>
      </c>
      <c r="O42" s="5">
        <f t="shared" si="25"/>
        <v>326.61030168461917</v>
      </c>
      <c r="P42" s="5">
        <f t="shared" si="26"/>
        <v>46.420663226146836</v>
      </c>
      <c r="Q42" s="5">
        <f t="shared" si="16"/>
        <v>5.9000000000000003E-6</v>
      </c>
      <c r="R42" s="5">
        <f t="shared" si="3"/>
        <v>2.6000000000000001E-6</v>
      </c>
      <c r="S42" s="6">
        <f>1-M42/K42*Q42</f>
        <v>0.99807299922006076</v>
      </c>
      <c r="T42" s="6">
        <f t="shared" si="4"/>
        <v>8.9226089068891214E-4</v>
      </c>
      <c r="U42" s="9">
        <v>4080000</v>
      </c>
      <c r="V42" s="5">
        <v>216000</v>
      </c>
      <c r="W42" s="5">
        <v>7.2900962334602665E-2</v>
      </c>
      <c r="X42" s="11">
        <v>1.2999999999999999E-2</v>
      </c>
      <c r="Y42" s="3">
        <f t="shared" si="5"/>
        <v>947.71251034983459</v>
      </c>
      <c r="Z42" s="5">
        <f t="shared" si="6"/>
        <v>94.771251034983464</v>
      </c>
      <c r="AA42" s="9">
        <v>16500000000</v>
      </c>
      <c r="AB42" s="5">
        <v>650000000</v>
      </c>
      <c r="AC42" s="13">
        <f t="shared" si="7"/>
        <v>177.89404839764552</v>
      </c>
      <c r="AD42" s="13">
        <f t="shared" si="8"/>
        <v>11.739188527522614</v>
      </c>
      <c r="AE42" s="5">
        <f t="shared" si="9"/>
        <v>97350</v>
      </c>
      <c r="AF42" s="5">
        <f t="shared" si="10"/>
        <v>43071.071788382513</v>
      </c>
      <c r="AG42" s="5">
        <f t="shared" si="17"/>
        <v>3982650</v>
      </c>
      <c r="AH42" s="5">
        <f t="shared" si="18"/>
        <v>220252.39436837003</v>
      </c>
      <c r="AI42" s="9">
        <f t="shared" si="19"/>
        <v>3990339.3871111856</v>
      </c>
      <c r="AJ42" s="15">
        <f t="shared" si="14"/>
        <v>220706.47151071977</v>
      </c>
      <c r="AK42" s="15">
        <f t="shared" si="15"/>
        <v>441412.94302143954</v>
      </c>
      <c r="AL42" s="16">
        <f>AI42/U42</f>
        <v>0.97802435958607492</v>
      </c>
    </row>
    <row r="43" spans="1:40" x14ac:dyDescent="0.35">
      <c r="A43" s="8" t="s">
        <v>38</v>
      </c>
      <c r="B43" s="6">
        <v>39.31668706</v>
      </c>
      <c r="C43" s="6">
        <v>175.51468410000001</v>
      </c>
      <c r="D43" s="12">
        <v>1433.2909999999999</v>
      </c>
      <c r="E43" s="13"/>
      <c r="F43" s="13"/>
      <c r="G43" s="6">
        <v>0.98797800000000002</v>
      </c>
      <c r="H43" s="14">
        <v>1.8017241379310345</v>
      </c>
      <c r="I43" s="14">
        <v>2.595004882</v>
      </c>
      <c r="J43" s="14">
        <v>2.87</v>
      </c>
      <c r="K43" s="4">
        <f t="shared" si="0"/>
        <v>350.9436</v>
      </c>
      <c r="L43" s="4">
        <f t="shared" si="1"/>
        <v>35.444499999999998</v>
      </c>
      <c r="M43" s="5">
        <v>114222.41599338636</v>
      </c>
      <c r="N43" s="5">
        <f>M43*0.1</f>
        <v>11422.241599338637</v>
      </c>
      <c r="O43" s="5">
        <f t="shared" si="25"/>
        <v>325.47228669617101</v>
      </c>
      <c r="P43" s="5">
        <f t="shared" si="26"/>
        <v>46.258918754975589</v>
      </c>
      <c r="Q43" s="5">
        <f t="shared" si="16"/>
        <v>5.9000000000000003E-6</v>
      </c>
      <c r="R43" s="5">
        <f t="shared" si="3"/>
        <v>2.6000000000000001E-6</v>
      </c>
      <c r="S43" s="6">
        <f>1-M43/K43*Q43</f>
        <v>0.99807971350849256</v>
      </c>
      <c r="T43" s="6">
        <f t="shared" si="4"/>
        <v>8.891519677248392E-4</v>
      </c>
      <c r="U43" s="9">
        <v>4470000</v>
      </c>
      <c r="V43" s="5">
        <v>244000</v>
      </c>
      <c r="W43" s="5">
        <v>7.2900962334602665E-2</v>
      </c>
      <c r="X43" s="11">
        <v>1.2999999999999999E-2</v>
      </c>
      <c r="Y43" s="3">
        <f t="shared" si="5"/>
        <v>947.71251034983459</v>
      </c>
      <c r="Z43" s="5">
        <f t="shared" si="6"/>
        <v>94.771251034983464</v>
      </c>
      <c r="AA43" s="9">
        <v>17900000000</v>
      </c>
      <c r="AB43" s="5">
        <v>792000000</v>
      </c>
      <c r="AC43" s="13">
        <f t="shared" si="7"/>
        <v>179.65515855472046</v>
      </c>
      <c r="AD43" s="13">
        <f t="shared" si="8"/>
        <v>12.623683265014485</v>
      </c>
      <c r="AE43" s="5">
        <f t="shared" si="9"/>
        <v>105610</v>
      </c>
      <c r="AF43" s="5">
        <f t="shared" si="10"/>
        <v>46773.995551374479</v>
      </c>
      <c r="AG43" s="5">
        <f t="shared" si="17"/>
        <v>4364390</v>
      </c>
      <c r="AH43" s="5">
        <f t="shared" si="18"/>
        <v>248442.76334769744</v>
      </c>
      <c r="AI43" s="9">
        <f t="shared" si="19"/>
        <v>4372787.0038136626</v>
      </c>
      <c r="AJ43" s="15">
        <f t="shared" si="14"/>
        <v>248951.24291202144</v>
      </c>
      <c r="AK43" s="15">
        <f t="shared" si="15"/>
        <v>497902.48582404287</v>
      </c>
      <c r="AL43" s="16">
        <f>AI43/U43</f>
        <v>0.97825212613281043</v>
      </c>
    </row>
    <row r="44" spans="1:40" x14ac:dyDescent="0.35">
      <c r="A44" s="8"/>
      <c r="B44" s="6"/>
      <c r="C44" s="6"/>
      <c r="D44" s="12"/>
      <c r="E44" s="13"/>
      <c r="F44" s="13"/>
      <c r="G44" s="6"/>
      <c r="H44" s="14"/>
      <c r="I44" s="14"/>
      <c r="J44" s="14"/>
      <c r="K44" s="4"/>
      <c r="L44" s="4"/>
      <c r="M44" s="5"/>
      <c r="N44" s="5"/>
      <c r="O44" s="5"/>
      <c r="P44" s="5"/>
      <c r="Q44" s="5"/>
      <c r="R44" s="5"/>
      <c r="S44" s="19"/>
      <c r="T44" s="17"/>
      <c r="U44" s="9"/>
      <c r="V44" s="5"/>
      <c r="W44" s="5"/>
      <c r="X44" s="11"/>
      <c r="Z44" s="5"/>
      <c r="AA44" s="9"/>
      <c r="AB44" s="5"/>
      <c r="AC44" s="13"/>
      <c r="AD44" s="13"/>
      <c r="AE44" s="5"/>
      <c r="AF44" s="5"/>
      <c r="AG44" s="5"/>
      <c r="AH44" s="5"/>
      <c r="AJ44" s="15"/>
      <c r="AK44" s="15"/>
      <c r="AL44" s="16"/>
    </row>
    <row r="45" spans="1:40" x14ac:dyDescent="0.35">
      <c r="A45" s="8" t="s">
        <v>39</v>
      </c>
      <c r="B45" s="6">
        <v>39.301407330000004</v>
      </c>
      <c r="C45" s="6">
        <v>175.519261</v>
      </c>
      <c r="D45" s="12">
        <v>1533.194</v>
      </c>
      <c r="E45" s="13"/>
      <c r="F45" s="13"/>
      <c r="G45" s="6">
        <v>0.99737699999999996</v>
      </c>
      <c r="H45" s="14">
        <v>2.1650943396226414</v>
      </c>
      <c r="I45" s="14">
        <v>6.2294444440000003</v>
      </c>
      <c r="J45" s="14">
        <v>3.07</v>
      </c>
      <c r="K45" s="4">
        <f t="shared" si="0"/>
        <v>375.39959999999996</v>
      </c>
      <c r="L45" s="4">
        <f t="shared" si="1"/>
        <v>37.914499999999997</v>
      </c>
      <c r="M45" s="5">
        <v>75863.873405914332</v>
      </c>
      <c r="N45" s="5">
        <f>M45*0.1</f>
        <v>7586.3873405914337</v>
      </c>
      <c r="O45" s="5">
        <f t="shared" si="25"/>
        <v>202.08831710506442</v>
      </c>
      <c r="P45" s="5">
        <f t="shared" si="26"/>
        <v>28.722528535953831</v>
      </c>
      <c r="Q45" s="5">
        <f t="shared" si="16"/>
        <v>5.9000000000000003E-6</v>
      </c>
      <c r="R45" s="5">
        <f t="shared" si="3"/>
        <v>2.6000000000000001E-6</v>
      </c>
      <c r="S45" s="6">
        <f>1-M45/K45*Q45</f>
        <v>0.99880767892908007</v>
      </c>
      <c r="T45" s="6">
        <f t="shared" si="4"/>
        <v>5.5208148943233272E-4</v>
      </c>
      <c r="U45" s="9">
        <v>4130000</v>
      </c>
      <c r="V45" s="5">
        <v>205000</v>
      </c>
      <c r="W45" s="5">
        <v>2.9249674088919635E-2</v>
      </c>
      <c r="X45" s="11">
        <v>1.2999999999999999E-2</v>
      </c>
      <c r="Y45" s="3">
        <f t="shared" si="5"/>
        <v>380.24576315595522</v>
      </c>
      <c r="Z45" s="5">
        <f t="shared" si="6"/>
        <v>38.024576315595525</v>
      </c>
      <c r="AA45" s="9">
        <v>10300000000</v>
      </c>
      <c r="AB45" s="5">
        <v>637000000</v>
      </c>
      <c r="AC45" s="13">
        <f t="shared" si="7"/>
        <v>288.46825452259549</v>
      </c>
      <c r="AD45" s="13">
        <f t="shared" si="8"/>
        <v>22.875685899400054</v>
      </c>
      <c r="AE45" s="5">
        <f t="shared" si="9"/>
        <v>60770</v>
      </c>
      <c r="AF45" s="5">
        <f t="shared" si="10"/>
        <v>27042.433671731545</v>
      </c>
      <c r="AG45" s="5">
        <f t="shared" si="17"/>
        <v>4069230</v>
      </c>
      <c r="AH45" s="5">
        <f t="shared" si="18"/>
        <v>206775.94932411748</v>
      </c>
      <c r="AI45" s="9">
        <f t="shared" si="19"/>
        <v>4074087.6205147137</v>
      </c>
      <c r="AJ45" s="15">
        <f t="shared" si="14"/>
        <v>207035.03431180099</v>
      </c>
      <c r="AK45" s="15">
        <f t="shared" si="15"/>
        <v>414070.06862360198</v>
      </c>
      <c r="AL45" s="16">
        <f>AI45/U45</f>
        <v>0.98646189358709779</v>
      </c>
    </row>
    <row r="46" spans="1:40" x14ac:dyDescent="0.35">
      <c r="A46" s="8" t="s">
        <v>40</v>
      </c>
      <c r="B46" s="6">
        <v>39.301543299999999</v>
      </c>
      <c r="C46" s="6">
        <v>175.51921110000001</v>
      </c>
      <c r="D46" s="12">
        <v>1533.5609999999999</v>
      </c>
      <c r="E46" s="13"/>
      <c r="F46" s="13"/>
      <c r="G46" s="6">
        <v>0.99737699999999996</v>
      </c>
      <c r="H46" s="14">
        <v>2.1120689655172415</v>
      </c>
      <c r="I46" s="14">
        <v>4.4645555559999996</v>
      </c>
      <c r="J46" s="14">
        <v>3.1</v>
      </c>
      <c r="K46" s="4">
        <f t="shared" si="0"/>
        <v>379.06800000000004</v>
      </c>
      <c r="L46" s="4">
        <f t="shared" si="1"/>
        <v>38.284999999999997</v>
      </c>
      <c r="M46" s="5">
        <v>75863.873405914332</v>
      </c>
      <c r="N46" s="5">
        <f>M46*0.1</f>
        <v>7586.3873405914337</v>
      </c>
      <c r="O46" s="5">
        <f t="shared" si="25"/>
        <v>200.13262371372505</v>
      </c>
      <c r="P46" s="5">
        <f t="shared" si="26"/>
        <v>28.444568582380075</v>
      </c>
      <c r="Q46" s="5">
        <f t="shared" si="16"/>
        <v>5.9000000000000003E-6</v>
      </c>
      <c r="R46" s="5">
        <f t="shared" si="3"/>
        <v>2.6000000000000001E-6</v>
      </c>
      <c r="S46" s="6">
        <f>1-M46/K46*Q46</f>
        <v>0.99881921752008906</v>
      </c>
      <c r="T46" s="6">
        <f t="shared" si="4"/>
        <v>5.467387653410521E-4</v>
      </c>
      <c r="U46" s="9">
        <v>5240000</v>
      </c>
      <c r="V46" s="5">
        <v>257000</v>
      </c>
      <c r="W46" s="5">
        <v>2.9249674088919635E-2</v>
      </c>
      <c r="X46" s="11">
        <v>1.2999999999999999E-2</v>
      </c>
      <c r="Y46" s="3">
        <f t="shared" si="5"/>
        <v>380.24576315595522</v>
      </c>
      <c r="Z46" s="5">
        <f t="shared" si="6"/>
        <v>38.024576315595525</v>
      </c>
      <c r="AA46" s="9">
        <v>11400000000</v>
      </c>
      <c r="AB46" s="5">
        <v>470000000</v>
      </c>
      <c r="AC46" s="13">
        <f t="shared" si="7"/>
        <v>330.68282216332199</v>
      </c>
      <c r="AD46" s="13">
        <f t="shared" si="8"/>
        <v>21.187569737667108</v>
      </c>
      <c r="AE46" s="5">
        <f t="shared" si="9"/>
        <v>67260</v>
      </c>
      <c r="AF46" s="5">
        <f t="shared" si="10"/>
        <v>29769.432796074569</v>
      </c>
      <c r="AG46" s="5">
        <f t="shared" si="17"/>
        <v>5172740</v>
      </c>
      <c r="AH46" s="5">
        <f t="shared" si="18"/>
        <v>258718.41667921515</v>
      </c>
      <c r="AI46" s="9">
        <f t="shared" si="19"/>
        <v>5178855.1013696948</v>
      </c>
      <c r="AJ46" s="15">
        <f t="shared" si="14"/>
        <v>259039.78007622526</v>
      </c>
      <c r="AK46" s="15">
        <f t="shared" si="15"/>
        <v>518079.56015245052</v>
      </c>
      <c r="AL46" s="16">
        <f>AI46/U46</f>
        <v>0.98833112621559061</v>
      </c>
    </row>
    <row r="47" spans="1:40" x14ac:dyDescent="0.35">
      <c r="A47" s="8" t="s">
        <v>42</v>
      </c>
      <c r="B47" s="6">
        <v>39.301494740000003</v>
      </c>
      <c r="C47" s="6">
        <v>175.5192456</v>
      </c>
      <c r="D47" s="12">
        <v>1533.087</v>
      </c>
      <c r="E47" s="13"/>
      <c r="F47" s="13"/>
      <c r="G47" s="6">
        <v>0.99737699999999996</v>
      </c>
      <c r="H47" s="14">
        <v>2.1451612903225805</v>
      </c>
      <c r="I47" s="14">
        <v>7.4132857139999997</v>
      </c>
      <c r="J47" s="14">
        <v>3.09</v>
      </c>
      <c r="K47" s="4">
        <f t="shared" si="0"/>
        <v>377.84519999999998</v>
      </c>
      <c r="L47" s="4">
        <f t="shared" si="1"/>
        <v>38.161499999999997</v>
      </c>
      <c r="M47" s="5">
        <v>75863.873405914332</v>
      </c>
      <c r="N47" s="5">
        <f>M47*0.1</f>
        <v>7586.3873405914337</v>
      </c>
      <c r="O47" s="5">
        <f t="shared" si="25"/>
        <v>200.78030210762063</v>
      </c>
      <c r="P47" s="5">
        <f t="shared" si="26"/>
        <v>28.536622202387786</v>
      </c>
      <c r="Q47" s="5">
        <f t="shared" si="16"/>
        <v>5.9000000000000003E-6</v>
      </c>
      <c r="R47" s="5">
        <f t="shared" si="3"/>
        <v>2.6000000000000001E-6</v>
      </c>
      <c r="S47" s="6">
        <f>1-M47/K47*Q47</f>
        <v>0.99881539621756499</v>
      </c>
      <c r="T47" s="6">
        <f t="shared" si="4"/>
        <v>5.4850814645866059E-4</v>
      </c>
      <c r="U47" s="9">
        <v>4740000</v>
      </c>
      <c r="V47" s="5">
        <v>228000</v>
      </c>
      <c r="W47" s="5">
        <v>2.9249674088919635E-2</v>
      </c>
      <c r="X47" s="11">
        <v>1.2999999999999999E-2</v>
      </c>
      <c r="Y47" s="3">
        <f t="shared" si="5"/>
        <v>380.24576315595522</v>
      </c>
      <c r="Z47" s="5">
        <f t="shared" si="6"/>
        <v>38.024576315595525</v>
      </c>
      <c r="AA47" s="9">
        <v>10900000000</v>
      </c>
      <c r="AB47" s="5">
        <v>372000000</v>
      </c>
      <c r="AC47" s="13">
        <f t="shared" si="7"/>
        <v>312.85063692165534</v>
      </c>
      <c r="AD47" s="13">
        <f t="shared" si="8"/>
        <v>18.451511028155583</v>
      </c>
      <c r="AE47" s="5">
        <f t="shared" si="9"/>
        <v>64310</v>
      </c>
      <c r="AF47" s="5">
        <f t="shared" si="10"/>
        <v>28424.861425167932</v>
      </c>
      <c r="AG47" s="5">
        <f t="shared" si="17"/>
        <v>4675690</v>
      </c>
      <c r="AH47" s="5">
        <f t="shared" si="18"/>
        <v>229765.03813034741</v>
      </c>
      <c r="AI47" s="9">
        <f t="shared" si="19"/>
        <v>4681235.4091721745</v>
      </c>
      <c r="AJ47" s="15">
        <f t="shared" si="14"/>
        <v>230051.9054390798</v>
      </c>
      <c r="AK47" s="15">
        <f t="shared" si="15"/>
        <v>460103.81087815959</v>
      </c>
      <c r="AL47" s="16">
        <f>AI47/U47</f>
        <v>0.987602406998349</v>
      </c>
    </row>
    <row r="48" spans="1:40" x14ac:dyDescent="0.35">
      <c r="A48" s="8" t="s">
        <v>41</v>
      </c>
      <c r="B48" s="6">
        <v>39.301172610000002</v>
      </c>
      <c r="C48" s="6">
        <v>175.5193179</v>
      </c>
      <c r="D48" s="12">
        <v>1528.0039999999999</v>
      </c>
      <c r="E48" s="13"/>
      <c r="F48" s="13"/>
      <c r="G48" s="6">
        <v>0.99737699999999996</v>
      </c>
      <c r="H48" s="14">
        <v>1.9870967741935484</v>
      </c>
      <c r="I48" s="14">
        <v>4.326866667</v>
      </c>
      <c r="J48" s="14">
        <v>3.08</v>
      </c>
      <c r="K48" s="4">
        <f t="shared" si="0"/>
        <v>376.62240000000003</v>
      </c>
      <c r="L48" s="4">
        <f t="shared" si="1"/>
        <v>38.037999999999997</v>
      </c>
      <c r="M48" s="5">
        <v>75863.873405914332</v>
      </c>
      <c r="N48" s="5">
        <f>M48*0.1</f>
        <v>7586.3873405914337</v>
      </c>
      <c r="O48" s="5">
        <f t="shared" si="25"/>
        <v>201.4321862053726</v>
      </c>
      <c r="P48" s="5">
        <f t="shared" si="26"/>
        <v>28.62927357317475</v>
      </c>
      <c r="Q48" s="5">
        <f t="shared" si="16"/>
        <v>5.9000000000000003E-6</v>
      </c>
      <c r="R48" s="5">
        <f t="shared" si="3"/>
        <v>2.6000000000000001E-6</v>
      </c>
      <c r="S48" s="6">
        <f>1-M48/K48*Q48</f>
        <v>0.99881155010138833</v>
      </c>
      <c r="T48" s="6">
        <f t="shared" si="4"/>
        <v>5.5028901706404584E-4</v>
      </c>
      <c r="U48" s="9">
        <v>4890000</v>
      </c>
      <c r="V48" s="5">
        <v>232000</v>
      </c>
      <c r="W48" s="5">
        <v>2.9249674088919635E-2</v>
      </c>
      <c r="X48" s="11">
        <v>1.2999999999999999E-2</v>
      </c>
      <c r="Y48" s="3">
        <f t="shared" si="5"/>
        <v>380.24576315595522</v>
      </c>
      <c r="Z48" s="5">
        <f t="shared" si="6"/>
        <v>38.024576315595525</v>
      </c>
      <c r="AA48" s="9">
        <v>8170000000</v>
      </c>
      <c r="AB48" s="5">
        <v>350000000</v>
      </c>
      <c r="AC48" s="13">
        <f t="shared" si="7"/>
        <v>430.59799406496836</v>
      </c>
      <c r="AD48" s="13">
        <f t="shared" si="8"/>
        <v>27.525105247819951</v>
      </c>
      <c r="AE48" s="5">
        <f t="shared" si="9"/>
        <v>48203</v>
      </c>
      <c r="AF48" s="5">
        <f t="shared" si="10"/>
        <v>21342.136467561068</v>
      </c>
      <c r="AG48" s="5">
        <f t="shared" si="17"/>
        <v>4841797</v>
      </c>
      <c r="AH48" s="5">
        <f t="shared" si="18"/>
        <v>232979.58448971447</v>
      </c>
      <c r="AI48" s="9">
        <f t="shared" si="19"/>
        <v>4847558.0799085815</v>
      </c>
      <c r="AJ48" s="15">
        <f t="shared" si="14"/>
        <v>233272.08761389888</v>
      </c>
      <c r="AK48" s="15">
        <f t="shared" si="15"/>
        <v>466544.17522779776</v>
      </c>
      <c r="AL48" s="16">
        <f>AI48/U48</f>
        <v>0.99132067073795127</v>
      </c>
    </row>
    <row r="49" spans="1:38" x14ac:dyDescent="0.35">
      <c r="A49" s="8"/>
      <c r="B49" s="6"/>
      <c r="C49" s="6"/>
      <c r="D49" s="12"/>
      <c r="E49" s="13"/>
      <c r="F49" s="13"/>
      <c r="G49" s="6"/>
      <c r="K49" s="4"/>
      <c r="L49" s="4"/>
      <c r="M49" s="5"/>
      <c r="N49" s="5"/>
      <c r="O49" s="5"/>
      <c r="P49" s="5"/>
      <c r="Q49" s="5"/>
      <c r="R49" s="5"/>
      <c r="S49" s="6"/>
      <c r="T49" s="17"/>
      <c r="U49" s="9"/>
      <c r="V49" s="5"/>
      <c r="W49" s="5"/>
      <c r="X49" s="11"/>
      <c r="Z49" s="5"/>
      <c r="AA49" s="9"/>
      <c r="AB49" s="5"/>
      <c r="AC49" s="13"/>
      <c r="AD49" s="13"/>
      <c r="AE49" s="5"/>
      <c r="AF49" s="5"/>
      <c r="AG49" s="5"/>
      <c r="AH49" s="5"/>
      <c r="AJ49" s="15"/>
      <c r="AK49" s="15"/>
      <c r="AL49" s="16"/>
    </row>
    <row r="50" spans="1:38" x14ac:dyDescent="0.35">
      <c r="A50" s="8" t="s">
        <v>43</v>
      </c>
      <c r="B50" s="6">
        <v>39.256888080000003</v>
      </c>
      <c r="C50" s="6">
        <v>175.5428047</v>
      </c>
      <c r="D50" s="12">
        <v>1892.383</v>
      </c>
      <c r="E50" s="13">
        <v>20</v>
      </c>
      <c r="F50" s="13">
        <v>260</v>
      </c>
      <c r="G50" s="6">
        <v>0.98689899999999997</v>
      </c>
      <c r="H50" s="14">
        <v>2.0855614973262031</v>
      </c>
      <c r="I50" s="14">
        <v>3.5326531799999996</v>
      </c>
      <c r="J50" s="3">
        <v>3.98</v>
      </c>
      <c r="K50" s="4">
        <f t="shared" si="0"/>
        <v>486.67439999999999</v>
      </c>
      <c r="L50" s="4">
        <f t="shared" si="1"/>
        <v>49.152999999999999</v>
      </c>
      <c r="M50" s="5">
        <v>154075.93783571696</v>
      </c>
      <c r="N50" s="5">
        <f>M50*0.1</f>
        <v>15407.593783571698</v>
      </c>
      <c r="O50" s="5">
        <f t="shared" si="25"/>
        <v>316.5893620780484</v>
      </c>
      <c r="P50" s="5">
        <f t="shared" si="26"/>
        <v>44.996401161273681</v>
      </c>
      <c r="Q50" s="5">
        <f t="shared" si="16"/>
        <v>5.9000000000000003E-6</v>
      </c>
      <c r="R50" s="5">
        <f t="shared" si="3"/>
        <v>2.6000000000000001E-6</v>
      </c>
      <c r="S50" s="6">
        <f>1-M50/K50*Q50</f>
        <v>0.99813212276373953</v>
      </c>
      <c r="T50" s="6">
        <f t="shared" si="4"/>
        <v>8.6488486350060707E-4</v>
      </c>
      <c r="U50" s="9">
        <v>6010000</v>
      </c>
      <c r="V50" s="5">
        <v>283000</v>
      </c>
      <c r="W50" s="5">
        <v>4.9317023286391551E-2</v>
      </c>
      <c r="X50" s="11">
        <v>1.2999999999999999E-2</v>
      </c>
      <c r="Y50" s="3">
        <f t="shared" si="5"/>
        <v>641.12130272309014</v>
      </c>
      <c r="Z50" s="5">
        <f t="shared" si="6"/>
        <v>64.112130272309017</v>
      </c>
      <c r="AA50" s="9">
        <v>3520000000</v>
      </c>
      <c r="AB50" s="5">
        <v>752000000</v>
      </c>
      <c r="AC50" s="13">
        <f t="shared" si="7"/>
        <v>1228.3355134074559</v>
      </c>
      <c r="AD50" s="13">
        <f t="shared" si="8"/>
        <v>268.71588634503638</v>
      </c>
      <c r="AE50" s="5">
        <f t="shared" si="9"/>
        <v>20768</v>
      </c>
      <c r="AF50" s="5">
        <f t="shared" si="10"/>
        <v>10170.757014106668</v>
      </c>
      <c r="AG50" s="5">
        <f t="shared" si="17"/>
        <v>5989232</v>
      </c>
      <c r="AH50" s="5">
        <f t="shared" si="18"/>
        <v>283182.70480069931</v>
      </c>
      <c r="AI50" s="9">
        <f t="shared" si="19"/>
        <v>6000440.0854431437</v>
      </c>
      <c r="AJ50" s="15">
        <f t="shared" si="14"/>
        <v>283760.28407708433</v>
      </c>
      <c r="AK50" s="15">
        <f t="shared" si="15"/>
        <v>567520.56815416866</v>
      </c>
      <c r="AL50" s="16">
        <f>AI50/U50</f>
        <v>0.99840933202048976</v>
      </c>
    </row>
    <row r="51" spans="1:38" x14ac:dyDescent="0.35">
      <c r="A51" s="8" t="s">
        <v>44</v>
      </c>
      <c r="B51" s="6">
        <v>39.256890460000001</v>
      </c>
      <c r="C51" s="6">
        <v>175.5428057</v>
      </c>
      <c r="D51" s="12">
        <v>1892.5429999999999</v>
      </c>
      <c r="E51" s="13">
        <v>17</v>
      </c>
      <c r="F51" s="13">
        <v>310</v>
      </c>
      <c r="G51" s="6">
        <v>0.99120900000000001</v>
      </c>
      <c r="H51" s="14">
        <v>2.1491228070175437</v>
      </c>
      <c r="I51" s="14">
        <v>3.4288076920000004</v>
      </c>
      <c r="J51" s="14">
        <v>3.99</v>
      </c>
      <c r="K51" s="4">
        <f t="shared" si="0"/>
        <v>487.89720000000005</v>
      </c>
      <c r="L51" s="4">
        <f t="shared" si="1"/>
        <v>49.276499999999999</v>
      </c>
      <c r="M51" s="5">
        <v>154075.93783571696</v>
      </c>
      <c r="N51" s="5">
        <f>M51*0.1</f>
        <v>15407.593783571698</v>
      </c>
      <c r="O51" s="5">
        <f t="shared" si="25"/>
        <v>315.79590503023371</v>
      </c>
      <c r="P51" s="5">
        <f t="shared" si="26"/>
        <v>44.883628226032386</v>
      </c>
      <c r="Q51" s="5">
        <f t="shared" si="16"/>
        <v>5.9000000000000003E-6</v>
      </c>
      <c r="R51" s="5">
        <f t="shared" si="3"/>
        <v>2.6000000000000001E-6</v>
      </c>
      <c r="S51" s="6">
        <f>1-M51/K51*Q51</f>
        <v>0.99813680416032158</v>
      </c>
      <c r="T51" s="6">
        <f t="shared" si="4"/>
        <v>8.6271723226376338E-4</v>
      </c>
      <c r="U51" s="9">
        <v>6360000</v>
      </c>
      <c r="V51" s="5">
        <v>264000</v>
      </c>
      <c r="W51" s="5">
        <v>4.9317023286391551E-2</v>
      </c>
      <c r="X51" s="11">
        <v>1.2999999999999999E-2</v>
      </c>
      <c r="Y51" s="3">
        <f t="shared" si="5"/>
        <v>641.12130272309014</v>
      </c>
      <c r="Z51" s="5">
        <f t="shared" si="6"/>
        <v>64.112130272309017</v>
      </c>
      <c r="AA51" s="9">
        <v>7330000000</v>
      </c>
      <c r="AB51" s="5">
        <v>345000000</v>
      </c>
      <c r="AC51" s="13">
        <f t="shared" si="7"/>
        <v>624.22095066102645</v>
      </c>
      <c r="AD51" s="13">
        <f t="shared" si="8"/>
        <v>39.173638854946837</v>
      </c>
      <c r="AE51" s="5">
        <f t="shared" si="9"/>
        <v>43247</v>
      </c>
      <c r="AF51" s="5">
        <f t="shared" si="10"/>
        <v>19166.39309442442</v>
      </c>
      <c r="AG51" s="5">
        <f t="shared" si="17"/>
        <v>6316753</v>
      </c>
      <c r="AH51" s="5">
        <f t="shared" si="18"/>
        <v>264694.82545801683</v>
      </c>
      <c r="AI51" s="9">
        <f t="shared" si="19"/>
        <v>6328544.3174434816</v>
      </c>
      <c r="AJ51" s="15">
        <f t="shared" si="14"/>
        <v>265245.33134463796</v>
      </c>
      <c r="AK51" s="15">
        <f t="shared" si="15"/>
        <v>530490.66268927592</v>
      </c>
      <c r="AL51" s="16">
        <f>AI51/U51</f>
        <v>0.99505413796281161</v>
      </c>
    </row>
    <row r="52" spans="1:38" x14ac:dyDescent="0.35">
      <c r="A52" s="8" t="s">
        <v>45</v>
      </c>
      <c r="B52" s="6">
        <v>39.25599776</v>
      </c>
      <c r="C52" s="6">
        <v>175.53972820000001</v>
      </c>
      <c r="D52" s="12">
        <v>1784.989</v>
      </c>
      <c r="E52" s="13"/>
      <c r="F52" s="13"/>
      <c r="G52" s="6">
        <v>0.99039299999999997</v>
      </c>
      <c r="H52" s="14">
        <v>2.3357664233576645</v>
      </c>
      <c r="I52" s="14">
        <v>3.5981666670000001</v>
      </c>
      <c r="J52" s="14">
        <v>3.7</v>
      </c>
      <c r="K52" s="4">
        <f t="shared" si="0"/>
        <v>452.43600000000004</v>
      </c>
      <c r="L52" s="4">
        <f t="shared" si="1"/>
        <v>45.695</v>
      </c>
      <c r="M52" s="5">
        <v>154075.93783571696</v>
      </c>
      <c r="N52" s="5">
        <f>M52*0.1</f>
        <v>15407.593783571698</v>
      </c>
      <c r="O52" s="5">
        <f t="shared" si="25"/>
        <v>340.5474759650358</v>
      </c>
      <c r="P52" s="5">
        <f t="shared" si="26"/>
        <v>48.40153422212682</v>
      </c>
      <c r="Q52" s="5">
        <f t="shared" si="16"/>
        <v>5.9000000000000003E-6</v>
      </c>
      <c r="R52" s="5">
        <f t="shared" si="3"/>
        <v>2.6000000000000001E-6</v>
      </c>
      <c r="S52" s="6">
        <f>1-M52/K52*Q52</f>
        <v>0.99799076989180624</v>
      </c>
      <c r="T52" s="6">
        <f t="shared" si="4"/>
        <v>9.3033560992767988E-4</v>
      </c>
      <c r="U52" s="9">
        <v>6060000</v>
      </c>
      <c r="V52" s="5">
        <v>264000</v>
      </c>
      <c r="W52" s="5">
        <v>4.9317023286391551E-2</v>
      </c>
      <c r="X52" s="11">
        <v>1.2999999999999999E-2</v>
      </c>
      <c r="Y52" s="3">
        <f t="shared" si="5"/>
        <v>641.12130272309014</v>
      </c>
      <c r="Z52" s="5">
        <f t="shared" si="6"/>
        <v>64.112130272309017</v>
      </c>
      <c r="AA52" s="9">
        <v>12400000000</v>
      </c>
      <c r="AB52" s="5">
        <v>456000000</v>
      </c>
      <c r="AC52" s="13">
        <f t="shared" si="7"/>
        <v>351.58969598514733</v>
      </c>
      <c r="AD52" s="13">
        <f t="shared" si="8"/>
        <v>20.04429619936646</v>
      </c>
      <c r="AE52" s="5">
        <f t="shared" si="9"/>
        <v>73160</v>
      </c>
      <c r="AF52" s="5">
        <f t="shared" si="10"/>
        <v>32352.061018735731</v>
      </c>
      <c r="AG52" s="5">
        <f t="shared" si="17"/>
        <v>5986840</v>
      </c>
      <c r="AH52" s="5">
        <f t="shared" si="18"/>
        <v>265974.91583260254</v>
      </c>
      <c r="AI52" s="9">
        <f t="shared" si="19"/>
        <v>5998893.1567463726</v>
      </c>
      <c r="AJ52" s="15">
        <f t="shared" si="14"/>
        <v>266569.06120393117</v>
      </c>
      <c r="AK52" s="15">
        <f t="shared" si="15"/>
        <v>533138.12240786233</v>
      </c>
      <c r="AL52" s="16">
        <f>AI52/U52</f>
        <v>0.9899163624994014</v>
      </c>
    </row>
    <row r="53" spans="1:38" x14ac:dyDescent="0.35">
      <c r="A53" s="8"/>
      <c r="B53" s="6"/>
      <c r="C53" s="6"/>
      <c r="D53" s="12"/>
      <c r="E53" s="13"/>
      <c r="F53" s="13"/>
      <c r="G53" s="6"/>
      <c r="H53" s="14"/>
      <c r="I53" s="14"/>
      <c r="J53" s="14"/>
      <c r="K53" s="4"/>
      <c r="L53" s="4"/>
      <c r="M53" s="5"/>
      <c r="N53" s="5"/>
      <c r="O53" s="5"/>
      <c r="P53" s="5"/>
      <c r="Q53" s="5"/>
      <c r="R53" s="5"/>
      <c r="S53" s="6"/>
      <c r="T53" s="6"/>
      <c r="U53" s="9"/>
      <c r="V53" s="5"/>
      <c r="W53" s="5"/>
      <c r="X53" s="11"/>
      <c r="Z53" s="5"/>
      <c r="AA53" s="9"/>
      <c r="AB53" s="5"/>
      <c r="AC53" s="13"/>
      <c r="AD53" s="13"/>
      <c r="AE53" s="5"/>
      <c r="AF53" s="5"/>
      <c r="AG53" s="5"/>
      <c r="AH53" s="5"/>
      <c r="AJ53" s="15"/>
      <c r="AK53" s="15"/>
      <c r="AL53" s="16"/>
    </row>
    <row r="54" spans="1:38" x14ac:dyDescent="0.35">
      <c r="A54" s="8" t="s">
        <v>46</v>
      </c>
      <c r="B54" s="6">
        <v>39.237006690000001</v>
      </c>
      <c r="C54" s="6">
        <v>175.5671519</v>
      </c>
      <c r="D54" s="12">
        <v>1730.6949999999999</v>
      </c>
      <c r="E54" s="13">
        <v>16</v>
      </c>
      <c r="F54" s="13">
        <v>310</v>
      </c>
      <c r="G54" s="6">
        <v>0.97906700000000002</v>
      </c>
      <c r="H54" s="14">
        <v>2.2790697674418601</v>
      </c>
      <c r="I54" s="14">
        <v>3.5380000000000003</v>
      </c>
      <c r="J54" s="14">
        <v>3.71</v>
      </c>
      <c r="K54" s="4">
        <f t="shared" si="0"/>
        <v>453.65879999999999</v>
      </c>
      <c r="L54" s="4">
        <f t="shared" si="1"/>
        <v>45.8185</v>
      </c>
      <c r="M54" s="5">
        <v>211342.33806028205</v>
      </c>
      <c r="N54" s="5">
        <f>M54*0.1</f>
        <v>21134.233806028205</v>
      </c>
      <c r="O54" s="5">
        <f t="shared" si="25"/>
        <v>465.86187253566351</v>
      </c>
      <c r="P54" s="5">
        <f t="shared" si="26"/>
        <v>66.21229331511492</v>
      </c>
      <c r="Q54" s="5">
        <f t="shared" si="16"/>
        <v>5.9000000000000003E-6</v>
      </c>
      <c r="R54" s="5">
        <f t="shared" si="3"/>
        <v>2.6000000000000001E-6</v>
      </c>
      <c r="S54" s="6">
        <f>1-M54/K54*Q54</f>
        <v>0.99725141495203962</v>
      </c>
      <c r="T54" s="6">
        <f t="shared" si="4"/>
        <v>1.2726797874491244E-3</v>
      </c>
      <c r="U54" s="9">
        <v>9390000</v>
      </c>
      <c r="V54" s="5">
        <v>441000</v>
      </c>
      <c r="W54" s="5">
        <v>0.15573150440079295</v>
      </c>
      <c r="X54" s="11">
        <v>0.02</v>
      </c>
      <c r="Y54" s="3">
        <f t="shared" si="5"/>
        <v>3114.6300880158592</v>
      </c>
      <c r="Z54" s="5">
        <f t="shared" si="6"/>
        <v>311.46300880158594</v>
      </c>
      <c r="AA54" s="9">
        <v>65600000000</v>
      </c>
      <c r="AB54" s="5">
        <v>2020000000</v>
      </c>
      <c r="AC54" s="13">
        <f t="shared" si="7"/>
        <v>102.97859273556764</v>
      </c>
      <c r="AD54" s="13">
        <f t="shared" si="8"/>
        <v>5.7832240804152155</v>
      </c>
      <c r="AE54" s="5">
        <f t="shared" si="9"/>
        <v>387040</v>
      </c>
      <c r="AF54" s="5">
        <f t="shared" si="10"/>
        <v>170975.882287532</v>
      </c>
      <c r="AG54" s="5">
        <f t="shared" si="17"/>
        <v>9002960</v>
      </c>
      <c r="AH54" s="5">
        <f t="shared" si="18"/>
        <v>472983.88167462958</v>
      </c>
      <c r="AI54" s="9">
        <f t="shared" si="19"/>
        <v>9027773.6035430692</v>
      </c>
      <c r="AJ54" s="15">
        <f t="shared" si="14"/>
        <v>474427.41307913198</v>
      </c>
      <c r="AK54" s="15">
        <f t="shared" si="15"/>
        <v>948854.82615826395</v>
      </c>
      <c r="AL54" s="16">
        <f>AI54/U54</f>
        <v>0.96142423892897433</v>
      </c>
    </row>
    <row r="55" spans="1:38" x14ac:dyDescent="0.35">
      <c r="A55" s="8" t="s">
        <v>47</v>
      </c>
      <c r="B55" s="6">
        <v>39.238581850000003</v>
      </c>
      <c r="C55" s="6">
        <v>175.56885410000001</v>
      </c>
      <c r="D55" s="12">
        <v>1860.8720000000001</v>
      </c>
      <c r="E55" s="13">
        <v>24</v>
      </c>
      <c r="F55" s="13">
        <v>180</v>
      </c>
      <c r="G55" s="6">
        <v>0.98767400000000005</v>
      </c>
      <c r="H55" s="14">
        <v>2.1833333333333331</v>
      </c>
      <c r="I55" s="14">
        <v>4.6603571430000006</v>
      </c>
      <c r="J55" s="14">
        <v>4.03</v>
      </c>
      <c r="K55" s="4">
        <f t="shared" si="0"/>
        <v>492.78840000000002</v>
      </c>
      <c r="L55" s="4">
        <f t="shared" si="1"/>
        <v>49.770499999999998</v>
      </c>
      <c r="M55" s="5">
        <v>211342.33806028205</v>
      </c>
      <c r="N55" s="5">
        <f>M55*0.1</f>
        <v>21134.233806028205</v>
      </c>
      <c r="O55" s="5">
        <f t="shared" si="25"/>
        <v>428.87035908370012</v>
      </c>
      <c r="P55" s="5">
        <f t="shared" si="26"/>
        <v>60.954741488604554</v>
      </c>
      <c r="Q55" s="5">
        <f t="shared" si="16"/>
        <v>5.9000000000000003E-6</v>
      </c>
      <c r="R55" s="5">
        <f t="shared" si="3"/>
        <v>2.6000000000000001E-6</v>
      </c>
      <c r="S55" s="6">
        <f>1-M55/K55*Q55</f>
        <v>0.9974696648814062</v>
      </c>
      <c r="T55" s="6">
        <f t="shared" si="4"/>
        <v>1.1716233278998142E-3</v>
      </c>
      <c r="U55" s="9">
        <v>9420000</v>
      </c>
      <c r="V55" s="5">
        <v>444000</v>
      </c>
      <c r="W55" s="5">
        <v>0.15573150440079295</v>
      </c>
      <c r="X55" s="11">
        <v>0.02</v>
      </c>
      <c r="Y55" s="3">
        <f t="shared" si="5"/>
        <v>3114.6300880158592</v>
      </c>
      <c r="Z55" s="5">
        <f t="shared" si="6"/>
        <v>311.46300880158594</v>
      </c>
      <c r="AA55" s="9">
        <v>77200000000</v>
      </c>
      <c r="AB55" s="5">
        <v>2380000000</v>
      </c>
      <c r="AC55" s="13">
        <f t="shared" si="7"/>
        <v>87.784694524173403</v>
      </c>
      <c r="AD55" s="13">
        <f t="shared" si="8"/>
        <v>4.944093956778195</v>
      </c>
      <c r="AE55" s="5">
        <f t="shared" si="9"/>
        <v>455480</v>
      </c>
      <c r="AF55" s="5">
        <f t="shared" si="10"/>
        <v>201210.57667031322</v>
      </c>
      <c r="AG55" s="5">
        <f t="shared" si="17"/>
        <v>8964520</v>
      </c>
      <c r="AH55" s="5">
        <f t="shared" si="18"/>
        <v>487464.55887992511</v>
      </c>
      <c r="AI55" s="9">
        <f t="shared" si="19"/>
        <v>8987260.7815755811</v>
      </c>
      <c r="AJ55" s="15">
        <f t="shared" si="14"/>
        <v>488815.13717568625</v>
      </c>
      <c r="AK55" s="15">
        <f t="shared" si="15"/>
        <v>977630.2743513725</v>
      </c>
      <c r="AL55" s="16">
        <f>AI55/U55</f>
        <v>0.95406165409507226</v>
      </c>
    </row>
    <row r="56" spans="1:38" x14ac:dyDescent="0.35">
      <c r="A56" s="8" t="s">
        <v>48</v>
      </c>
      <c r="B56" s="6">
        <v>39.238497430000002</v>
      </c>
      <c r="C56" s="6">
        <v>175.56880179999999</v>
      </c>
      <c r="D56" s="12">
        <v>1857.913</v>
      </c>
      <c r="E56" s="13">
        <v>16</v>
      </c>
      <c r="F56" s="13">
        <v>330</v>
      </c>
      <c r="G56" s="6">
        <v>0.99702900000000005</v>
      </c>
      <c r="H56" s="14">
        <v>2.1164383561643834</v>
      </c>
      <c r="I56" s="14">
        <v>4.2519230769999998</v>
      </c>
      <c r="J56" s="14">
        <v>4.07</v>
      </c>
      <c r="K56" s="4">
        <f t="shared" si="0"/>
        <v>497.67960000000005</v>
      </c>
      <c r="L56" s="4">
        <f t="shared" si="1"/>
        <v>50.264500000000005</v>
      </c>
      <c r="M56" s="5">
        <v>211342.33806028205</v>
      </c>
      <c r="N56" s="5">
        <f>M56*0.1</f>
        <v>21134.233806028205</v>
      </c>
      <c r="O56" s="5">
        <f t="shared" si="25"/>
        <v>424.65541697968337</v>
      </c>
      <c r="P56" s="5">
        <f t="shared" si="26"/>
        <v>60.355677690190745</v>
      </c>
      <c r="Q56" s="5">
        <f t="shared" si="16"/>
        <v>5.9000000000000003E-6</v>
      </c>
      <c r="R56" s="5">
        <f t="shared" si="3"/>
        <v>2.6000000000000001E-6</v>
      </c>
      <c r="S56" s="6">
        <f>1-M56/K56*Q56</f>
        <v>0.99749453303981983</v>
      </c>
      <c r="T56" s="6">
        <f t="shared" si="4"/>
        <v>1.1601086023184893E-3</v>
      </c>
      <c r="U56" s="9">
        <v>10690000</v>
      </c>
      <c r="V56" s="5">
        <v>494000</v>
      </c>
      <c r="W56" s="5">
        <v>0.15573150440079295</v>
      </c>
      <c r="X56" s="11">
        <v>0.02</v>
      </c>
      <c r="Y56" s="3">
        <f t="shared" si="5"/>
        <v>3114.6300880158592</v>
      </c>
      <c r="Z56" s="5">
        <f t="shared" si="6"/>
        <v>311.46300880158594</v>
      </c>
      <c r="AA56" s="9">
        <v>58400000000</v>
      </c>
      <c r="AB56" s="5">
        <v>1820000000</v>
      </c>
      <c r="AC56" s="13">
        <f t="shared" si="7"/>
        <v>131.68916921257514</v>
      </c>
      <c r="AD56" s="13">
        <f t="shared" si="8"/>
        <v>7.3400776913221479</v>
      </c>
      <c r="AE56" s="5">
        <f t="shared" si="9"/>
        <v>344560</v>
      </c>
      <c r="AF56" s="5">
        <f t="shared" si="10"/>
        <v>152219.21772233624</v>
      </c>
      <c r="AG56" s="5">
        <f t="shared" si="17"/>
        <v>10345440</v>
      </c>
      <c r="AH56" s="5">
        <f t="shared" si="18"/>
        <v>516920.39062509424</v>
      </c>
      <c r="AI56" s="9">
        <f t="shared" si="19"/>
        <v>10371425.263327245</v>
      </c>
      <c r="AJ56" s="15">
        <f t="shared" si="14"/>
        <v>518359.13316167443</v>
      </c>
      <c r="AK56" s="15">
        <f t="shared" si="15"/>
        <v>1036718.2663233489</v>
      </c>
      <c r="AL56" s="16">
        <f>AI56/U56</f>
        <v>0.97019880854324081</v>
      </c>
    </row>
    <row r="57" spans="1:38" x14ac:dyDescent="0.35">
      <c r="A57" s="8"/>
      <c r="B57" s="6"/>
      <c r="C57" s="6"/>
      <c r="D57" s="12"/>
      <c r="E57" s="13"/>
      <c r="F57" s="13"/>
      <c r="G57" s="6"/>
      <c r="K57" s="4"/>
      <c r="L57" s="4"/>
      <c r="M57" s="5"/>
      <c r="N57" s="5"/>
      <c r="O57" s="5"/>
      <c r="P57" s="5"/>
      <c r="Q57" s="5"/>
      <c r="R57" s="5"/>
      <c r="S57" s="6"/>
      <c r="T57" s="17"/>
      <c r="U57" s="9"/>
      <c r="V57" s="5"/>
      <c r="W57" s="5"/>
      <c r="X57" s="11"/>
      <c r="Z57" s="5"/>
      <c r="AA57" s="9"/>
      <c r="AB57" s="5"/>
      <c r="AC57" s="13"/>
      <c r="AD57" s="13"/>
      <c r="AE57" s="5"/>
      <c r="AF57" s="5"/>
      <c r="AG57" s="5"/>
      <c r="AH57" s="5"/>
      <c r="AJ57" s="15"/>
      <c r="AK57" s="15"/>
      <c r="AL57" s="16"/>
    </row>
    <row r="58" spans="1:38" x14ac:dyDescent="0.35">
      <c r="A58" s="8" t="s">
        <v>49</v>
      </c>
      <c r="B58" s="6">
        <v>39.206680460000001</v>
      </c>
      <c r="C58" s="6">
        <v>175.56679740000001</v>
      </c>
      <c r="D58" s="12">
        <v>1308.165</v>
      </c>
      <c r="E58" s="13"/>
      <c r="F58" s="13"/>
      <c r="G58" s="6">
        <v>0.99911700000000003</v>
      </c>
      <c r="H58" s="14">
        <v>2.3928571428571428</v>
      </c>
      <c r="I58" s="14">
        <v>3.7519499999999999</v>
      </c>
      <c r="J58" s="3">
        <v>2.63</v>
      </c>
      <c r="K58" s="4">
        <f t="shared" si="0"/>
        <v>321.59640000000002</v>
      </c>
      <c r="L58" s="4">
        <f t="shared" si="1"/>
        <v>32.480499999999999</v>
      </c>
      <c r="M58" s="5">
        <v>116651.97005439796</v>
      </c>
      <c r="N58" s="5">
        <f>M58*0.1</f>
        <v>11665.197005439797</v>
      </c>
      <c r="O58" s="5">
        <f t="shared" si="25"/>
        <v>362.72784786893743</v>
      </c>
      <c r="P58" s="5">
        <f t="shared" si="26"/>
        <v>51.553999313004248</v>
      </c>
      <c r="Q58" s="5">
        <f t="shared" si="16"/>
        <v>5.9000000000000003E-6</v>
      </c>
      <c r="R58" s="5">
        <f t="shared" si="3"/>
        <v>2.6000000000000001E-6</v>
      </c>
      <c r="S58" s="6">
        <f>1-M58/K58*Q58</f>
        <v>0.99785990569757332</v>
      </c>
      <c r="T58" s="6">
        <f t="shared" si="4"/>
        <v>9.9092977455968482E-4</v>
      </c>
      <c r="U58" s="9">
        <v>4650000</v>
      </c>
      <c r="V58" s="5">
        <v>289000</v>
      </c>
      <c r="W58" s="5">
        <v>5.1274065430894751E-2</v>
      </c>
      <c r="X58" s="11">
        <v>1.4999999999999999E-2</v>
      </c>
      <c r="Y58" s="3">
        <f t="shared" si="5"/>
        <v>769.11098146342124</v>
      </c>
      <c r="Z58" s="5">
        <f t="shared" si="6"/>
        <v>76.911098146342127</v>
      </c>
      <c r="AA58" s="9">
        <v>16400000000</v>
      </c>
      <c r="AB58" s="5">
        <v>610000000</v>
      </c>
      <c r="AC58" s="13">
        <f t="shared" si="7"/>
        <v>203.98315493946305</v>
      </c>
      <c r="AD58" s="13">
        <f t="shared" si="8"/>
        <v>14.774586548121189</v>
      </c>
      <c r="AE58" s="5">
        <f t="shared" si="9"/>
        <v>96760</v>
      </c>
      <c r="AF58" s="5">
        <f t="shared" si="10"/>
        <v>42791.616012952822</v>
      </c>
      <c r="AG58" s="5">
        <f t="shared" si="17"/>
        <v>4553240</v>
      </c>
      <c r="AH58" s="5">
        <f t="shared" si="18"/>
        <v>292150.85555411264</v>
      </c>
      <c r="AI58" s="9">
        <f t="shared" si="19"/>
        <v>4563005.2615622124</v>
      </c>
      <c r="AJ58" s="15">
        <f t="shared" si="14"/>
        <v>292812.49033250689</v>
      </c>
      <c r="AK58" s="15">
        <f t="shared" si="15"/>
        <v>585624.98066501378</v>
      </c>
      <c r="AL58" s="16">
        <f>AI58/U58</f>
        <v>0.98129145409940055</v>
      </c>
    </row>
    <row r="59" spans="1:38" x14ac:dyDescent="0.35">
      <c r="A59" s="8" t="s">
        <v>50</v>
      </c>
      <c r="B59" s="6">
        <v>39.206019750000003</v>
      </c>
      <c r="C59" s="6">
        <v>175.5665315</v>
      </c>
      <c r="D59" s="12">
        <v>1290.425</v>
      </c>
      <c r="E59" s="13">
        <v>16</v>
      </c>
      <c r="F59" s="13">
        <v>90</v>
      </c>
      <c r="G59" s="6">
        <v>0.99605200000000005</v>
      </c>
      <c r="H59" s="14">
        <v>2.3103448275862073</v>
      </c>
      <c r="I59" s="14">
        <v>4.9990000000000006</v>
      </c>
      <c r="J59" s="14">
        <v>2.59</v>
      </c>
      <c r="K59" s="4">
        <f t="shared" si="0"/>
        <v>316.70519999999999</v>
      </c>
      <c r="L59" s="4">
        <f t="shared" si="1"/>
        <v>31.986499999999996</v>
      </c>
      <c r="M59" s="5">
        <v>116651.97005439796</v>
      </c>
      <c r="N59" s="5">
        <f>M59*0.1</f>
        <v>11665.197005439797</v>
      </c>
      <c r="O59" s="5">
        <f t="shared" si="25"/>
        <v>368.32982235339983</v>
      </c>
      <c r="P59" s="5">
        <f t="shared" si="26"/>
        <v>52.350200074595044</v>
      </c>
      <c r="Q59" s="5">
        <f t="shared" si="16"/>
        <v>5.9000000000000003E-6</v>
      </c>
      <c r="R59" s="5">
        <f t="shared" si="3"/>
        <v>2.6000000000000001E-6</v>
      </c>
      <c r="S59" s="6">
        <f>1-M59/K59*Q59</f>
        <v>0.99782685404811489</v>
      </c>
      <c r="T59" s="6">
        <f t="shared" si="4"/>
        <v>1.0062337093019195E-3</v>
      </c>
      <c r="U59" s="9">
        <v>4380000</v>
      </c>
      <c r="V59" s="5">
        <v>270000</v>
      </c>
      <c r="W59" s="5">
        <v>5.1274065430894751E-2</v>
      </c>
      <c r="X59" s="11">
        <v>1.4999999999999999E-2</v>
      </c>
      <c r="Y59" s="3">
        <f t="shared" si="5"/>
        <v>769.11098146342124</v>
      </c>
      <c r="Z59" s="5">
        <f t="shared" si="6"/>
        <v>76.911098146342127</v>
      </c>
      <c r="AA59" s="9">
        <v>10100000000</v>
      </c>
      <c r="AB59" s="5">
        <v>478000000</v>
      </c>
      <c r="AC59" s="13">
        <f t="shared" si="7"/>
        <v>311.98803333570766</v>
      </c>
      <c r="AD59" s="13">
        <f t="shared" si="8"/>
        <v>24.246472916115472</v>
      </c>
      <c r="AE59" s="5">
        <f t="shared" si="9"/>
        <v>59590</v>
      </c>
      <c r="AF59" s="5">
        <f t="shared" si="10"/>
        <v>26411.00391957867</v>
      </c>
      <c r="AG59" s="5">
        <f t="shared" si="17"/>
        <v>4320410</v>
      </c>
      <c r="AH59" s="5">
        <f t="shared" si="18"/>
        <v>271288.66752601368</v>
      </c>
      <c r="AI59" s="9">
        <f t="shared" si="19"/>
        <v>4329819.3293479662</v>
      </c>
      <c r="AJ59" s="15">
        <f t="shared" si="14"/>
        <v>271914.55979180144</v>
      </c>
      <c r="AK59" s="15">
        <f t="shared" si="15"/>
        <v>543829.11958360288</v>
      </c>
      <c r="AL59" s="16">
        <f>AI59/U59</f>
        <v>0.98854322587853105</v>
      </c>
    </row>
    <row r="60" spans="1:38" x14ac:dyDescent="0.35">
      <c r="A60" s="8" t="s">
        <v>51</v>
      </c>
      <c r="B60" s="6">
        <v>39.20594019</v>
      </c>
      <c r="C60" s="6">
        <v>175.56642360000001</v>
      </c>
      <c r="D60" s="12">
        <v>1288.1510000000001</v>
      </c>
      <c r="E60" s="13"/>
      <c r="F60" s="13"/>
      <c r="G60" s="6">
        <v>0.99882800000000005</v>
      </c>
      <c r="H60" s="14">
        <v>2.2295081967213117</v>
      </c>
      <c r="I60" s="14">
        <v>4.2008990740000005</v>
      </c>
      <c r="J60" s="14">
        <v>2.6</v>
      </c>
      <c r="K60" s="4">
        <f t="shared" si="0"/>
        <v>317.928</v>
      </c>
      <c r="L60" s="4">
        <f t="shared" si="1"/>
        <v>32.11</v>
      </c>
      <c r="M60" s="5">
        <v>116651.97005439796</v>
      </c>
      <c r="N60" s="5">
        <f>M60*0.1</f>
        <v>11665.197005439797</v>
      </c>
      <c r="O60" s="5">
        <f t="shared" si="25"/>
        <v>366.91316919050212</v>
      </c>
      <c r="P60" s="5">
        <f t="shared" si="26"/>
        <v>52.148853151231222</v>
      </c>
      <c r="Q60" s="5">
        <f t="shared" si="16"/>
        <v>5.9000000000000003E-6</v>
      </c>
      <c r="R60" s="5">
        <f t="shared" si="3"/>
        <v>2.6000000000000001E-6</v>
      </c>
      <c r="S60" s="6">
        <f>1-M60/K60*Q60</f>
        <v>0.99783521230177608</v>
      </c>
      <c r="T60" s="6">
        <f t="shared" si="4"/>
        <v>1.0023635796507582E-3</v>
      </c>
      <c r="U60" s="9">
        <v>4690000</v>
      </c>
      <c r="V60" s="5">
        <v>287000</v>
      </c>
      <c r="W60" s="5">
        <v>5.1274065430894751E-2</v>
      </c>
      <c r="X60" s="11">
        <v>1.4999999999999999E-2</v>
      </c>
      <c r="Y60" s="3">
        <f t="shared" si="5"/>
        <v>769.11098146342124</v>
      </c>
      <c r="Z60" s="5">
        <f t="shared" si="6"/>
        <v>76.911098146342127</v>
      </c>
      <c r="AA60" s="9">
        <v>11400000000</v>
      </c>
      <c r="AB60" s="5">
        <v>426000000</v>
      </c>
      <c r="AC60" s="13">
        <f t="shared" si="7"/>
        <v>295.97374731793514</v>
      </c>
      <c r="AD60" s="13">
        <f t="shared" si="8"/>
        <v>21.22176799834368</v>
      </c>
      <c r="AE60" s="5">
        <f t="shared" si="9"/>
        <v>67260</v>
      </c>
      <c r="AF60" s="5">
        <f t="shared" si="10"/>
        <v>29746.374225441326</v>
      </c>
      <c r="AG60" s="5">
        <f t="shared" si="17"/>
        <v>4622740</v>
      </c>
      <c r="AH60" s="5">
        <f t="shared" si="18"/>
        <v>288537.42699961818</v>
      </c>
      <c r="AI60" s="9">
        <f t="shared" si="19"/>
        <v>4632768.9612560403</v>
      </c>
      <c r="AJ60" s="15">
        <f t="shared" si="14"/>
        <v>289200.85101072898</v>
      </c>
      <c r="AK60" s="15">
        <f t="shared" si="15"/>
        <v>578401.70202145795</v>
      </c>
      <c r="AL60" s="16">
        <f>AI60/U60</f>
        <v>0.98779721988401714</v>
      </c>
    </row>
    <row r="61" spans="1:38" x14ac:dyDescent="0.35">
      <c r="A61" s="8"/>
      <c r="B61" s="6"/>
      <c r="C61" s="6"/>
      <c r="D61" s="12"/>
      <c r="E61" s="13"/>
      <c r="F61" s="13"/>
      <c r="G61" s="6"/>
      <c r="H61" s="14"/>
      <c r="I61" s="14"/>
      <c r="K61" s="4"/>
      <c r="L61" s="4"/>
      <c r="M61" s="5"/>
      <c r="N61" s="5"/>
      <c r="O61" s="5"/>
      <c r="P61" s="5"/>
      <c r="Q61" s="5"/>
      <c r="R61" s="5"/>
      <c r="S61" s="6"/>
      <c r="T61" s="17"/>
      <c r="U61" s="9"/>
      <c r="V61" s="5"/>
      <c r="W61" s="5"/>
      <c r="X61" s="11"/>
      <c r="Z61" s="5"/>
      <c r="AA61" s="9"/>
      <c r="AB61" s="5"/>
      <c r="AC61" s="13"/>
      <c r="AD61" s="13"/>
      <c r="AE61" s="5"/>
      <c r="AF61" s="5"/>
      <c r="AG61" s="5"/>
      <c r="AH61" s="5"/>
      <c r="AJ61" s="15"/>
      <c r="AK61" s="15"/>
      <c r="AL61" s="16"/>
    </row>
    <row r="62" spans="1:38" x14ac:dyDescent="0.35">
      <c r="A62" s="8" t="s">
        <v>52</v>
      </c>
      <c r="B62" s="6">
        <v>39.276109830000003</v>
      </c>
      <c r="C62" s="6">
        <v>175.60206260000001</v>
      </c>
      <c r="D62" s="12">
        <v>1905.047</v>
      </c>
      <c r="E62" s="13"/>
      <c r="F62" s="13"/>
      <c r="G62" s="6">
        <v>0.98259399999999997</v>
      </c>
      <c r="H62" s="14">
        <v>2.1216730038022811</v>
      </c>
      <c r="I62" s="14">
        <v>5.5787999999999993</v>
      </c>
      <c r="J62" s="14">
        <v>3.9</v>
      </c>
      <c r="K62" s="4">
        <f t="shared" si="0"/>
        <v>476.892</v>
      </c>
      <c r="L62" s="4">
        <f t="shared" si="1"/>
        <v>48.164999999999999</v>
      </c>
      <c r="M62" s="5">
        <v>105273.15248568229</v>
      </c>
      <c r="N62" s="5">
        <f>M62*0.1</f>
        <v>10527.315248568229</v>
      </c>
      <c r="O62" s="5">
        <f t="shared" si="25"/>
        <v>220.74841365693342</v>
      </c>
      <c r="P62" s="5">
        <f t="shared" si="26"/>
        <v>31.374661837732312</v>
      </c>
      <c r="Q62" s="5">
        <f t="shared" si="16"/>
        <v>5.9000000000000003E-6</v>
      </c>
      <c r="R62" s="5">
        <f t="shared" si="3"/>
        <v>2.6000000000000001E-6</v>
      </c>
      <c r="S62" s="6">
        <f>1-M62/K62*Q62</f>
        <v>0.99869758435942413</v>
      </c>
      <c r="T62" s="6">
        <f t="shared" si="4"/>
        <v>6.0305867626273772E-4</v>
      </c>
      <c r="U62" s="9">
        <v>3980000</v>
      </c>
      <c r="V62" s="5">
        <v>224000</v>
      </c>
      <c r="W62" s="5">
        <v>3.0471746118547301E-2</v>
      </c>
      <c r="X62" s="11">
        <v>0.01</v>
      </c>
      <c r="Y62" s="3">
        <f t="shared" si="5"/>
        <v>304.71746118547304</v>
      </c>
      <c r="Z62" s="5">
        <f t="shared" si="6"/>
        <v>30.471746118547305</v>
      </c>
      <c r="AA62" s="9">
        <v>5070000000</v>
      </c>
      <c r="AB62" s="5">
        <v>993000000</v>
      </c>
      <c r="AC62" s="13">
        <f t="shared" si="7"/>
        <v>564.75529635463226</v>
      </c>
      <c r="AD62" s="13">
        <f t="shared" si="8"/>
        <v>115.08813439771163</v>
      </c>
      <c r="AE62" s="5">
        <f t="shared" si="9"/>
        <v>29913</v>
      </c>
      <c r="AF62" s="5">
        <f t="shared" si="10"/>
        <v>14425.307265011723</v>
      </c>
      <c r="AG62" s="5">
        <f t="shared" si="17"/>
        <v>3950087</v>
      </c>
      <c r="AH62" s="5">
        <f t="shared" si="18"/>
        <v>224464.00488650738</v>
      </c>
      <c r="AI62" s="9">
        <f t="shared" si="19"/>
        <v>3955238.3643078804</v>
      </c>
      <c r="AJ62" s="15">
        <f>AG62/S62*SQRT((AH62/AG62)^2+(T62/S62)^2)</f>
        <v>224769.42098111557</v>
      </c>
      <c r="AK62" s="15">
        <f>2*AJ62</f>
        <v>449538.84196223115</v>
      </c>
      <c r="AL62" s="16">
        <f>AI62/U62</f>
        <v>0.99377848349444231</v>
      </c>
    </row>
    <row r="63" spans="1:38" x14ac:dyDescent="0.35">
      <c r="A63" s="8" t="s">
        <v>53</v>
      </c>
      <c r="B63" s="6">
        <v>39.276069069999998</v>
      </c>
      <c r="C63" s="6">
        <v>175.6020585</v>
      </c>
      <c r="D63" s="12">
        <v>1905.8720000000001</v>
      </c>
      <c r="E63" s="13"/>
      <c r="F63" s="13"/>
      <c r="G63" s="6">
        <v>0.99708600000000003</v>
      </c>
      <c r="H63" s="14">
        <v>2.2087912087912089</v>
      </c>
      <c r="I63" s="14">
        <v>4.8357999999999999</v>
      </c>
      <c r="J63" s="14">
        <v>3.93</v>
      </c>
      <c r="K63" s="4">
        <f t="shared" si="0"/>
        <v>480.56040000000002</v>
      </c>
      <c r="L63" s="4">
        <f t="shared" si="1"/>
        <v>48.535499999999999</v>
      </c>
      <c r="M63" s="5">
        <v>105273.15248568229</v>
      </c>
      <c r="N63" s="5">
        <f>M63*0.1</f>
        <v>10527.315248568229</v>
      </c>
      <c r="O63" s="5">
        <f t="shared" si="25"/>
        <v>219.06331126260568</v>
      </c>
      <c r="P63" s="5">
        <f t="shared" si="26"/>
        <v>31.135160602329776</v>
      </c>
      <c r="Q63" s="5">
        <f t="shared" si="16"/>
        <v>5.9000000000000003E-6</v>
      </c>
      <c r="R63" s="5">
        <f t="shared" si="3"/>
        <v>2.6000000000000001E-6</v>
      </c>
      <c r="S63" s="6">
        <f>1-M63/K63*Q63</f>
        <v>0.99870752646355065</v>
      </c>
      <c r="T63" s="6">
        <f t="shared" si="4"/>
        <v>5.9845517491722048E-4</v>
      </c>
      <c r="U63" s="9">
        <v>4410000</v>
      </c>
      <c r="V63" s="5">
        <v>235000</v>
      </c>
      <c r="W63" s="5">
        <v>3.0471746118547301E-2</v>
      </c>
      <c r="X63" s="11">
        <v>0.01</v>
      </c>
      <c r="Y63" s="3">
        <f t="shared" si="5"/>
        <v>304.71746118547304</v>
      </c>
      <c r="Z63" s="5">
        <f t="shared" si="6"/>
        <v>30.471746118547305</v>
      </c>
      <c r="AA63" s="9">
        <v>1370000000</v>
      </c>
      <c r="AB63" s="5">
        <v>788000000</v>
      </c>
      <c r="AC63" s="13">
        <f t="shared" si="7"/>
        <v>2315.811584309195</v>
      </c>
      <c r="AD63" s="13">
        <f t="shared" si="8"/>
        <v>1337.7184866147513</v>
      </c>
      <c r="AE63" s="5">
        <f t="shared" si="9"/>
        <v>8083</v>
      </c>
      <c r="AF63" s="5">
        <f t="shared" si="10"/>
        <v>5856.8681596908091</v>
      </c>
      <c r="AG63" s="5">
        <f t="shared" si="17"/>
        <v>4401917</v>
      </c>
      <c r="AH63" s="5">
        <f t="shared" si="18"/>
        <v>235072.97357339913</v>
      </c>
      <c r="AI63" s="9">
        <f t="shared" si="19"/>
        <v>4407613.7240972864</v>
      </c>
      <c r="AJ63" s="15">
        <f t="shared" si="14"/>
        <v>235392.01023005377</v>
      </c>
      <c r="AK63" s="15">
        <f t="shared" si="15"/>
        <v>470784.02046010754</v>
      </c>
      <c r="AL63" s="16">
        <f>AI63/U63</f>
        <v>0.99945889435312618</v>
      </c>
    </row>
    <row r="64" spans="1:38" x14ac:dyDescent="0.35">
      <c r="A64" s="8" t="s">
        <v>54</v>
      </c>
      <c r="B64" s="6">
        <v>39.276056920000002</v>
      </c>
      <c r="C64" s="6">
        <v>175.60211219999999</v>
      </c>
      <c r="D64" s="12">
        <v>1905.49</v>
      </c>
      <c r="E64" s="13"/>
      <c r="F64" s="13"/>
      <c r="G64" s="6">
        <v>0.99708600000000003</v>
      </c>
      <c r="H64" s="14">
        <v>2.37</v>
      </c>
      <c r="I64" s="14">
        <v>4.1552500000000006</v>
      </c>
      <c r="J64" s="14">
        <v>3.94</v>
      </c>
      <c r="K64" s="4">
        <f t="shared" si="0"/>
        <v>481.78320000000002</v>
      </c>
      <c r="L64" s="4">
        <f t="shared" si="1"/>
        <v>48.658999999999999</v>
      </c>
      <c r="M64" s="5">
        <v>105273.15248568229</v>
      </c>
      <c r="N64" s="5">
        <f>M64*0.1</f>
        <v>10527.315248568229</v>
      </c>
      <c r="O64" s="5">
        <f t="shared" si="25"/>
        <v>218.50731301067012</v>
      </c>
      <c r="P64" s="5">
        <f t="shared" si="26"/>
        <v>31.056137352070053</v>
      </c>
      <c r="Q64" s="5">
        <f t="shared" si="16"/>
        <v>5.9000000000000003E-6</v>
      </c>
      <c r="R64" s="5">
        <f t="shared" si="3"/>
        <v>2.6000000000000001E-6</v>
      </c>
      <c r="S64" s="6">
        <f>1-M64/K64*Q64</f>
        <v>0.9987108068532371</v>
      </c>
      <c r="T64" s="6">
        <f t="shared" si="4"/>
        <v>5.9693625315347112E-4</v>
      </c>
      <c r="U64" s="9">
        <v>4610000</v>
      </c>
      <c r="V64" s="5">
        <v>233000</v>
      </c>
      <c r="W64" s="5">
        <v>3.0471746118547301E-2</v>
      </c>
      <c r="X64" s="11">
        <v>0.01</v>
      </c>
      <c r="Y64" s="3">
        <f t="shared" si="5"/>
        <v>304.71746118547304</v>
      </c>
      <c r="Z64" s="5">
        <f t="shared" si="6"/>
        <v>30.471746118547305</v>
      </c>
      <c r="AA64" s="9">
        <v>5530000000</v>
      </c>
      <c r="AB64" s="5">
        <v>563000000</v>
      </c>
      <c r="AC64" s="13">
        <f t="shared" si="7"/>
        <v>599.73720842494174</v>
      </c>
      <c r="AD64" s="13">
        <f t="shared" si="8"/>
        <v>68.168405522641464</v>
      </c>
      <c r="AE64" s="5">
        <f t="shared" si="9"/>
        <v>32627</v>
      </c>
      <c r="AF64" s="5">
        <f t="shared" si="10"/>
        <v>14756.71287550178</v>
      </c>
      <c r="AG64" s="5">
        <f t="shared" si="17"/>
        <v>4577373</v>
      </c>
      <c r="AH64" s="5">
        <f t="shared" si="18"/>
        <v>233466.82971011108</v>
      </c>
      <c r="AI64" s="9">
        <f t="shared" si="19"/>
        <v>4583281.735402965</v>
      </c>
      <c r="AJ64" s="15">
        <f t="shared" si="14"/>
        <v>233784.25296638225</v>
      </c>
      <c r="AK64" s="15">
        <f t="shared" si="15"/>
        <v>467568.5059327645</v>
      </c>
      <c r="AL64" s="16">
        <f>AI64/U64</f>
        <v>0.99420428099847402</v>
      </c>
    </row>
    <row r="65" spans="1:38" x14ac:dyDescent="0.35">
      <c r="A65" s="8"/>
      <c r="B65" s="6"/>
      <c r="C65" s="6"/>
      <c r="D65" s="12"/>
      <c r="E65" s="13"/>
      <c r="F65" s="20"/>
      <c r="G65" s="6"/>
      <c r="H65" s="14"/>
      <c r="I65" s="14"/>
      <c r="J65" s="14"/>
      <c r="K65" s="4"/>
      <c r="L65" s="4"/>
      <c r="M65" s="5"/>
      <c r="N65" s="5"/>
      <c r="O65" s="5"/>
      <c r="P65" s="5"/>
      <c r="Q65" s="5"/>
      <c r="R65" s="5"/>
      <c r="S65" s="6"/>
      <c r="T65" s="17"/>
      <c r="U65" s="9"/>
      <c r="V65" s="5"/>
      <c r="W65" s="5"/>
      <c r="X65" s="11"/>
      <c r="Z65" s="5"/>
      <c r="AB65" s="5"/>
      <c r="AC65" s="13"/>
      <c r="AD65" s="13"/>
      <c r="AE65" s="5"/>
      <c r="AF65" s="5"/>
      <c r="AG65" s="5"/>
      <c r="AH65" s="5"/>
      <c r="AJ65" s="15"/>
      <c r="AK65" s="15"/>
      <c r="AL65" s="16"/>
    </row>
    <row r="66" spans="1:38" x14ac:dyDescent="0.35">
      <c r="A66" s="8" t="s">
        <v>55</v>
      </c>
      <c r="B66" s="6">
        <v>39.281538730000001</v>
      </c>
      <c r="C66" s="6">
        <v>175.59925329999999</v>
      </c>
      <c r="D66" s="12">
        <v>1932.5250000000001</v>
      </c>
      <c r="E66" s="13"/>
      <c r="F66" s="13"/>
      <c r="G66" s="6">
        <v>0.99690699999999999</v>
      </c>
      <c r="H66" s="14">
        <v>2.1978783592644979</v>
      </c>
      <c r="I66" s="14">
        <v>2.4247562389999997</v>
      </c>
      <c r="J66" s="3">
        <v>4.04</v>
      </c>
      <c r="K66" s="14">
        <f t="shared" si="0"/>
        <v>494.01120000000003</v>
      </c>
      <c r="L66" s="14">
        <f t="shared" si="1"/>
        <v>49.893999999999998</v>
      </c>
      <c r="M66" s="5">
        <v>75448.994321924096</v>
      </c>
      <c r="N66" s="5">
        <f>M66*0.1</f>
        <v>7544.8994321924101</v>
      </c>
      <c r="O66" s="5">
        <f t="shared" si="25"/>
        <v>152.72729509356083</v>
      </c>
      <c r="P66" s="5">
        <f t="shared" si="26"/>
        <v>21.706915839490208</v>
      </c>
      <c r="Q66" s="5">
        <f t="shared" si="16"/>
        <v>5.9000000000000003E-6</v>
      </c>
      <c r="R66" s="5">
        <f t="shared" si="3"/>
        <v>2.6000000000000001E-6</v>
      </c>
      <c r="S66" s="6">
        <f>1-M66/K66*Q66</f>
        <v>0.99909890895894804</v>
      </c>
      <c r="T66" s="6">
        <f t="shared" si="4"/>
        <v>4.1723298882432734E-4</v>
      </c>
      <c r="U66" s="9">
        <v>5060000</v>
      </c>
      <c r="V66" s="5">
        <v>311000</v>
      </c>
      <c r="W66" s="5">
        <v>5.0593656196500303E-2</v>
      </c>
      <c r="X66" s="11">
        <v>0.01</v>
      </c>
      <c r="Y66" s="3">
        <f t="shared" si="5"/>
        <v>505.93656196500308</v>
      </c>
      <c r="Z66" s="5">
        <f t="shared" ref="Z66:Z104" si="27">Y66*0.1</f>
        <v>50.593656196500312</v>
      </c>
      <c r="AA66" s="9">
        <v>36600000</v>
      </c>
      <c r="AB66" s="5">
        <v>1380000000</v>
      </c>
      <c r="AC66" s="13" t="s">
        <v>169</v>
      </c>
      <c r="AD66" s="13" t="s">
        <v>170</v>
      </c>
      <c r="AE66" s="5">
        <f t="shared" ref="AE66:AE104" si="28">AA66*Q66</f>
        <v>215.94</v>
      </c>
      <c r="AF66" s="5">
        <f t="shared" ref="AF66:AF104" si="29">AE66*SQRT((AB66/AA66)^2+(R66/Q66)^2)</f>
        <v>8142.5560744522973</v>
      </c>
      <c r="AG66" s="5">
        <f t="shared" si="17"/>
        <v>5059784.0599999996</v>
      </c>
      <c r="AH66" s="5">
        <f t="shared" si="18"/>
        <v>311106.57533942541</v>
      </c>
      <c r="AI66" s="9">
        <f t="shared" si="19"/>
        <v>5064347.4981593648</v>
      </c>
      <c r="AJ66" s="5">
        <f>AG66/S66*SQRT((AH66/AG66)^2+(T66/S66)^2)</f>
        <v>311394.34562520171</v>
      </c>
      <c r="AK66" s="5">
        <f t="shared" ref="AK66:AK104" si="30">2*AJ66</f>
        <v>622788.69125040341</v>
      </c>
      <c r="AL66" s="16">
        <f t="shared" ref="AL66:AL104" si="31">AI66/U66</f>
        <v>1.0008591893595582</v>
      </c>
    </row>
    <row r="67" spans="1:38" x14ac:dyDescent="0.35">
      <c r="A67" s="8" t="s">
        <v>56</v>
      </c>
      <c r="B67" s="6">
        <v>39.281532830000003</v>
      </c>
      <c r="C67" s="6">
        <v>175.59917960000001</v>
      </c>
      <c r="D67" s="12">
        <v>1935.038</v>
      </c>
      <c r="E67" s="13">
        <v>17</v>
      </c>
      <c r="F67" s="13">
        <v>90</v>
      </c>
      <c r="G67" s="6">
        <v>0.98868</v>
      </c>
      <c r="H67" s="14">
        <v>2.1386138613861387</v>
      </c>
      <c r="I67" s="14">
        <v>2.9048695649999998</v>
      </c>
      <c r="J67" s="3">
        <v>4.09</v>
      </c>
      <c r="K67" s="4">
        <f t="shared" ref="K67:K104" si="32">122.28*$J67</f>
        <v>500.12520000000001</v>
      </c>
      <c r="L67" s="4">
        <f t="shared" ref="L67:L104" si="33">12.35*$J67</f>
        <v>50.511499999999998</v>
      </c>
      <c r="M67" s="5">
        <v>75448.994321924096</v>
      </c>
      <c r="N67" s="5">
        <f>M67*0.1</f>
        <v>7544.8994321924101</v>
      </c>
      <c r="O67" s="5">
        <f t="shared" si="25"/>
        <v>150.86021324645128</v>
      </c>
      <c r="P67" s="5">
        <f t="shared" si="26"/>
        <v>21.441550120181034</v>
      </c>
      <c r="Q67" s="5">
        <f t="shared" si="16"/>
        <v>5.9000000000000003E-6</v>
      </c>
      <c r="R67" s="5">
        <f t="shared" ref="R67:R104" si="34">0.0000026</f>
        <v>2.6000000000000001E-6</v>
      </c>
      <c r="S67" s="6">
        <f>1-M67/K67*Q67</f>
        <v>0.9991099247418459</v>
      </c>
      <c r="T67" s="6">
        <f>(O67*Q67)*SQRT((P67/O67)^2+(R67/Q67)^2)</f>
        <v>4.1213234103918892E-4</v>
      </c>
      <c r="U67" s="9">
        <v>5860000</v>
      </c>
      <c r="V67" s="5">
        <v>279000</v>
      </c>
      <c r="W67" s="5">
        <v>5.0593656196500303E-2</v>
      </c>
      <c r="X67" s="11">
        <v>0.01</v>
      </c>
      <c r="Y67" s="3">
        <f t="shared" si="5"/>
        <v>505.93656196500308</v>
      </c>
      <c r="Z67" s="5">
        <f t="shared" si="27"/>
        <v>50.593656196500312</v>
      </c>
      <c r="AA67" s="9">
        <v>14100000000</v>
      </c>
      <c r="AB67" s="5">
        <v>973000000</v>
      </c>
      <c r="AC67" s="13">
        <f t="shared" ref="AC67:AC103" si="35">U67/AA67/0.00000139</f>
        <v>298.99484667585079</v>
      </c>
      <c r="AD67" s="13">
        <f t="shared" ref="AD67:AD103" si="36">AC67*SQRT((V67/U67)^2+(AB67/AA67)^2)</f>
        <v>25.067073564474374</v>
      </c>
      <c r="AE67" s="5">
        <f t="shared" si="28"/>
        <v>83190</v>
      </c>
      <c r="AF67" s="5">
        <f t="shared" si="29"/>
        <v>37106.754593874146</v>
      </c>
      <c r="AG67" s="5">
        <f t="shared" si="17"/>
        <v>5776810</v>
      </c>
      <c r="AH67" s="5">
        <f t="shared" si="18"/>
        <v>281456.76619418833</v>
      </c>
      <c r="AI67" s="9">
        <f t="shared" si="19"/>
        <v>5781956.3763142833</v>
      </c>
      <c r="AJ67" s="15">
        <f t="shared" ref="AJ67:AJ104" si="37">AG67/S67*SQRT((AH67/AG67)^2+(T67/S67)^2)</f>
        <v>281717.60333029181</v>
      </c>
      <c r="AK67" s="15">
        <f t="shared" si="30"/>
        <v>563435.20666058362</v>
      </c>
      <c r="AL67" s="16">
        <f t="shared" si="31"/>
        <v>0.98668197548025316</v>
      </c>
    </row>
    <row r="68" spans="1:38" x14ac:dyDescent="0.35">
      <c r="A68" s="8" t="s">
        <v>57</v>
      </c>
      <c r="B68" s="6">
        <v>39.281639579999997</v>
      </c>
      <c r="C68" s="6">
        <v>175.59934770000001</v>
      </c>
      <c r="D68" s="12">
        <v>1929.2139999999999</v>
      </c>
      <c r="E68" s="13">
        <v>20</v>
      </c>
      <c r="F68" s="13">
        <v>110</v>
      </c>
      <c r="G68" s="6">
        <v>0.99274200000000001</v>
      </c>
      <c r="H68" s="14">
        <v>2.2571428571428571</v>
      </c>
      <c r="I68" s="14">
        <v>3.6781088160000004</v>
      </c>
      <c r="J68" s="3">
        <v>4.07</v>
      </c>
      <c r="K68" s="4">
        <f t="shared" si="32"/>
        <v>497.67960000000005</v>
      </c>
      <c r="L68" s="4">
        <f t="shared" si="33"/>
        <v>50.264500000000005</v>
      </c>
      <c r="M68" s="5">
        <v>75448.994321924096</v>
      </c>
      <c r="N68" s="5">
        <f>M68*0.1</f>
        <v>7544.8994321924101</v>
      </c>
      <c r="O68" s="5">
        <f t="shared" si="25"/>
        <v>151.60154107567215</v>
      </c>
      <c r="P68" s="5">
        <f t="shared" si="26"/>
        <v>21.546914002835482</v>
      </c>
      <c r="Q68" s="5">
        <f t="shared" si="16"/>
        <v>5.9000000000000003E-6</v>
      </c>
      <c r="R68" s="5">
        <f t="shared" si="34"/>
        <v>2.6000000000000001E-6</v>
      </c>
      <c r="S68" s="6">
        <f t="shared" ref="S68:S104" si="38">1-M68/K68*Q68</f>
        <v>0.99910555090765352</v>
      </c>
      <c r="T68" s="6">
        <f>(O68*Q68)*SQRT((P68/O68)^2+(R68/Q68)^2)</f>
        <v>4.1415756138827572E-4</v>
      </c>
      <c r="U68" s="9">
        <v>5780000</v>
      </c>
      <c r="V68" s="5">
        <v>280000</v>
      </c>
      <c r="W68" s="5">
        <v>5.0593656196500303E-2</v>
      </c>
      <c r="X68" s="11">
        <v>0.01</v>
      </c>
      <c r="Y68" s="3">
        <f>W68*X68*1000000</f>
        <v>505.93656196500308</v>
      </c>
      <c r="Z68" s="5">
        <f t="shared" si="27"/>
        <v>50.593656196500312</v>
      </c>
      <c r="AA68" s="9">
        <v>7960000000</v>
      </c>
      <c r="AB68" s="5">
        <v>544000000</v>
      </c>
      <c r="AC68" s="13">
        <f t="shared" si="35"/>
        <v>522.3961534290155</v>
      </c>
      <c r="AD68" s="13">
        <f t="shared" si="36"/>
        <v>43.760787227029702</v>
      </c>
      <c r="AE68" s="5">
        <f t="shared" si="28"/>
        <v>46964</v>
      </c>
      <c r="AF68" s="5">
        <f t="shared" si="29"/>
        <v>20943.398677387584</v>
      </c>
      <c r="AG68" s="5">
        <f t="shared" si="17"/>
        <v>5733036</v>
      </c>
      <c r="AH68" s="5">
        <f t="shared" si="18"/>
        <v>280782.16814491624</v>
      </c>
      <c r="AI68" s="9">
        <f t="shared" si="19"/>
        <v>5738168.4996062042</v>
      </c>
      <c r="AJ68" s="15">
        <f t="shared" si="37"/>
        <v>281043.60438894067</v>
      </c>
      <c r="AK68" s="15">
        <f t="shared" si="30"/>
        <v>562087.20877788134</v>
      </c>
      <c r="AL68" s="16">
        <f t="shared" si="31"/>
        <v>0.99276271619484502</v>
      </c>
    </row>
    <row r="69" spans="1:38" x14ac:dyDescent="0.35">
      <c r="A69" s="8"/>
      <c r="B69" s="6"/>
      <c r="C69" s="6"/>
      <c r="D69" s="12"/>
      <c r="E69" s="13"/>
      <c r="F69" s="13"/>
      <c r="G69" s="6"/>
      <c r="K69" s="4"/>
      <c r="L69" s="4"/>
      <c r="M69" s="5"/>
      <c r="N69" s="5"/>
      <c r="O69" s="5"/>
      <c r="P69" s="5"/>
      <c r="Q69" s="5"/>
      <c r="R69" s="5"/>
      <c r="S69" s="6"/>
      <c r="T69" s="17"/>
      <c r="U69" s="9"/>
      <c r="V69" s="5"/>
      <c r="W69" s="5"/>
      <c r="X69" s="11"/>
      <c r="Z69" s="5"/>
      <c r="AA69" s="9"/>
      <c r="AB69" s="5"/>
      <c r="AC69" s="13"/>
      <c r="AD69" s="13"/>
      <c r="AE69" s="5"/>
      <c r="AF69" s="5"/>
      <c r="AG69" s="5"/>
      <c r="AH69" s="5"/>
      <c r="AJ69" s="15"/>
      <c r="AK69" s="15"/>
      <c r="AL69" s="16"/>
    </row>
    <row r="70" spans="1:38" x14ac:dyDescent="0.35">
      <c r="A70" s="8" t="s">
        <v>58</v>
      </c>
      <c r="B70" s="6">
        <v>39.272603179999997</v>
      </c>
      <c r="C70" s="6">
        <v>175.6261184</v>
      </c>
      <c r="D70" s="12">
        <v>1521.19</v>
      </c>
      <c r="E70" s="13"/>
      <c r="F70" s="13"/>
      <c r="G70" s="6">
        <v>0.99352499999999999</v>
      </c>
      <c r="H70" s="14">
        <v>2.0671641791044775</v>
      </c>
      <c r="I70" s="3">
        <v>5.8528849780000005</v>
      </c>
      <c r="J70" s="3">
        <v>2.94</v>
      </c>
      <c r="K70" s="4">
        <f t="shared" si="32"/>
        <v>359.50319999999999</v>
      </c>
      <c r="L70" s="4">
        <f t="shared" si="33"/>
        <v>36.308999999999997</v>
      </c>
      <c r="M70" s="5">
        <v>76183.727562942833</v>
      </c>
      <c r="N70" s="5">
        <f>M70*0.1</f>
        <v>7618.372756294284</v>
      </c>
      <c r="O70" s="5">
        <f t="shared" si="25"/>
        <v>211.91390664378741</v>
      </c>
      <c r="P70" s="5">
        <f t="shared" si="26"/>
        <v>30.119025770189388</v>
      </c>
      <c r="Q70" s="5">
        <f t="shared" ref="Q70:Q104" si="39">0.0000059</f>
        <v>5.9000000000000003E-6</v>
      </c>
      <c r="R70" s="5">
        <f t="shared" si="34"/>
        <v>2.6000000000000001E-6</v>
      </c>
      <c r="S70" s="6">
        <f t="shared" si="38"/>
        <v>0.99874970795080165</v>
      </c>
      <c r="T70" s="6">
        <f>(O70*Q70)*SQRT((P70/O70)^2+(R70/Q70)^2)</f>
        <v>5.7892384323484747E-4</v>
      </c>
      <c r="U70" s="9">
        <v>2710000</v>
      </c>
      <c r="V70" s="5">
        <v>203000</v>
      </c>
      <c r="W70" s="5">
        <v>7.027398885745563E-2</v>
      </c>
      <c r="X70" s="11">
        <v>0.01</v>
      </c>
      <c r="Y70" s="3">
        <f>W70*X70*1000000</f>
        <v>702.7398885745564</v>
      </c>
      <c r="Z70" s="5">
        <f t="shared" si="27"/>
        <v>70.273988857455649</v>
      </c>
      <c r="AA70" s="9">
        <v>9480000000</v>
      </c>
      <c r="AB70" s="5">
        <v>558000000</v>
      </c>
      <c r="AC70" s="13">
        <f t="shared" si="35"/>
        <v>205.65825820356372</v>
      </c>
      <c r="AD70" s="13">
        <f t="shared" si="36"/>
        <v>19.592400588283695</v>
      </c>
      <c r="AE70" s="5">
        <f t="shared" si="28"/>
        <v>55932</v>
      </c>
      <c r="AF70" s="5">
        <f t="shared" si="29"/>
        <v>24866.895359895654</v>
      </c>
      <c r="AG70" s="5">
        <f t="shared" si="17"/>
        <v>2654068</v>
      </c>
      <c r="AH70" s="5">
        <f t="shared" si="18"/>
        <v>204517.38919915832</v>
      </c>
      <c r="AI70" s="9">
        <f t="shared" si="19"/>
        <v>2657390.5142315589</v>
      </c>
      <c r="AJ70" s="15">
        <f t="shared" si="37"/>
        <v>204779.20913376106</v>
      </c>
      <c r="AK70" s="15">
        <f t="shared" si="30"/>
        <v>409558.41826752212</v>
      </c>
      <c r="AL70" s="16">
        <f t="shared" si="31"/>
        <v>0.98058690562050144</v>
      </c>
    </row>
    <row r="71" spans="1:38" x14ac:dyDescent="0.35">
      <c r="A71" s="8" t="s">
        <v>59</v>
      </c>
      <c r="B71" s="6">
        <v>39.272551020000002</v>
      </c>
      <c r="C71" s="6">
        <v>175.62625729999999</v>
      </c>
      <c r="D71" s="12">
        <v>1521.9559999999999</v>
      </c>
      <c r="E71" s="13">
        <v>10</v>
      </c>
      <c r="F71" s="13">
        <v>40</v>
      </c>
      <c r="G71" s="6">
        <v>0.99775400000000003</v>
      </c>
      <c r="H71" s="14">
        <v>2.137142857142857</v>
      </c>
      <c r="I71" s="3">
        <v>6.4773846150000001</v>
      </c>
      <c r="J71" s="3">
        <v>3.02</v>
      </c>
      <c r="K71" s="4">
        <f t="shared" si="32"/>
        <v>369.28559999999999</v>
      </c>
      <c r="L71" s="4">
        <f t="shared" si="33"/>
        <v>37.296999999999997</v>
      </c>
      <c r="M71" s="5">
        <v>76183.727562942833</v>
      </c>
      <c r="N71" s="5">
        <f>M71*0.1</f>
        <v>7618.372756294284</v>
      </c>
      <c r="O71" s="5">
        <f t="shared" si="25"/>
        <v>206.30029322275993</v>
      </c>
      <c r="P71" s="5">
        <f t="shared" si="26"/>
        <v>29.321170782899603</v>
      </c>
      <c r="Q71" s="5">
        <f t="shared" si="39"/>
        <v>5.9000000000000003E-6</v>
      </c>
      <c r="R71" s="5">
        <f t="shared" si="34"/>
        <v>2.6000000000000001E-6</v>
      </c>
      <c r="S71" s="6">
        <f t="shared" si="38"/>
        <v>0.99878282826998577</v>
      </c>
      <c r="T71" s="6">
        <f>(O71*Q71)*SQRT((P71/O71)^2+(R71/Q71)^2)</f>
        <v>5.6358811228822902E-4</v>
      </c>
      <c r="U71" s="9">
        <v>3860000</v>
      </c>
      <c r="V71" s="5">
        <v>274000</v>
      </c>
      <c r="W71" s="5">
        <v>7.027398885745563E-2</v>
      </c>
      <c r="X71" s="11">
        <v>0.01</v>
      </c>
      <c r="Y71" s="3">
        <f>W71*X71*1000000</f>
        <v>702.7398885745564</v>
      </c>
      <c r="Z71" s="5">
        <f t="shared" si="27"/>
        <v>70.273988857455649</v>
      </c>
      <c r="AA71" s="9">
        <v>10300000000</v>
      </c>
      <c r="AB71" s="5">
        <v>419000000</v>
      </c>
      <c r="AC71" s="13">
        <f t="shared" si="35"/>
        <v>269.60955507438706</v>
      </c>
      <c r="AD71" s="13">
        <f t="shared" si="36"/>
        <v>22.057989696813088</v>
      </c>
      <c r="AE71" s="5">
        <f t="shared" si="28"/>
        <v>60770</v>
      </c>
      <c r="AF71" s="5">
        <f t="shared" si="29"/>
        <v>26893.859492642554</v>
      </c>
      <c r="AG71" s="5">
        <f t="shared" ref="AG71:AG104" si="40">U71-AE71</f>
        <v>3799230</v>
      </c>
      <c r="AH71" s="5">
        <f t="shared" ref="AH71:AH104" si="41">SQRT(V71^2+AF71^2)</f>
        <v>275316.68979270034</v>
      </c>
      <c r="AI71" s="9">
        <f t="shared" si="19"/>
        <v>3803859.9507970433</v>
      </c>
      <c r="AJ71" s="15">
        <f t="shared" si="37"/>
        <v>275660.56252053042</v>
      </c>
      <c r="AK71" s="15">
        <f t="shared" si="30"/>
        <v>551321.12504106085</v>
      </c>
      <c r="AL71" s="16">
        <f t="shared" si="31"/>
        <v>0.98545594580234286</v>
      </c>
    </row>
    <row r="72" spans="1:38" x14ac:dyDescent="0.35">
      <c r="A72" s="8" t="s">
        <v>60</v>
      </c>
      <c r="B72" s="6">
        <v>39.272341939999997</v>
      </c>
      <c r="C72" s="6">
        <v>175.6270758</v>
      </c>
      <c r="D72" s="12">
        <v>1506.441</v>
      </c>
      <c r="E72" s="13"/>
      <c r="F72" s="13"/>
      <c r="G72" s="6">
        <v>0.98797400000000002</v>
      </c>
      <c r="H72" s="14">
        <v>2.226923076923077</v>
      </c>
      <c r="I72" s="3">
        <v>6.4523999999999999</v>
      </c>
      <c r="J72" s="3">
        <v>2.89</v>
      </c>
      <c r="K72" s="4">
        <f t="shared" si="32"/>
        <v>353.38920000000002</v>
      </c>
      <c r="L72" s="4">
        <f t="shared" si="33"/>
        <v>35.691499999999998</v>
      </c>
      <c r="M72" s="5">
        <v>76183.727562942833</v>
      </c>
      <c r="N72" s="5">
        <f>M72*0.1</f>
        <v>7618.372756294284</v>
      </c>
      <c r="O72" s="5">
        <f t="shared" si="25"/>
        <v>215.5802372085588</v>
      </c>
      <c r="P72" s="5">
        <f t="shared" si="26"/>
        <v>30.64011618143833</v>
      </c>
      <c r="Q72" s="5">
        <f t="shared" si="39"/>
        <v>5.9000000000000003E-6</v>
      </c>
      <c r="R72" s="5">
        <f t="shared" si="34"/>
        <v>2.6000000000000001E-6</v>
      </c>
      <c r="S72" s="6">
        <f t="shared" si="38"/>
        <v>0.99872807660046947</v>
      </c>
      <c r="T72" s="6">
        <f>(O72*Q72)*SQRT((P72/O72)^2+(R72/Q72)^2)</f>
        <v>5.889398266818171E-4</v>
      </c>
      <c r="U72" s="9">
        <v>2470000</v>
      </c>
      <c r="V72" s="5">
        <v>137000</v>
      </c>
      <c r="W72" s="5">
        <v>7.027398885745563E-2</v>
      </c>
      <c r="X72" s="11">
        <v>0.01</v>
      </c>
      <c r="Y72" s="3">
        <f>W72*X72*1000000</f>
        <v>702.7398885745564</v>
      </c>
      <c r="Z72" s="5">
        <f t="shared" si="27"/>
        <v>70.273988857455649</v>
      </c>
      <c r="AA72" s="9">
        <v>6760000000</v>
      </c>
      <c r="AB72" s="5">
        <v>580000000</v>
      </c>
      <c r="AC72" s="13">
        <f t="shared" si="35"/>
        <v>262.86662977310459</v>
      </c>
      <c r="AD72" s="13">
        <f t="shared" si="36"/>
        <v>26.856002141547542</v>
      </c>
      <c r="AE72" s="5">
        <f t="shared" si="28"/>
        <v>39884</v>
      </c>
      <c r="AF72" s="5">
        <f t="shared" si="29"/>
        <v>17906.028593744624</v>
      </c>
      <c r="AG72" s="5">
        <f t="shared" si="40"/>
        <v>2430116</v>
      </c>
      <c r="AH72" s="5">
        <f t="shared" si="41"/>
        <v>138165.21219178147</v>
      </c>
      <c r="AI72" s="9">
        <f t="shared" si="19"/>
        <v>2433210.8578260606</v>
      </c>
      <c r="AJ72" s="15">
        <f t="shared" si="37"/>
        <v>138348.61226335226</v>
      </c>
      <c r="AK72" s="15">
        <f t="shared" si="30"/>
        <v>276697.22452670452</v>
      </c>
      <c r="AL72" s="16">
        <f t="shared" si="31"/>
        <v>0.98510561045589495</v>
      </c>
    </row>
    <row r="73" spans="1:38" x14ac:dyDescent="0.35">
      <c r="A73" s="8"/>
      <c r="B73" s="6"/>
      <c r="C73" s="6"/>
      <c r="D73" s="12"/>
      <c r="E73" s="13"/>
      <c r="F73" s="13"/>
      <c r="G73" s="6"/>
      <c r="H73" s="14"/>
      <c r="I73" s="14"/>
      <c r="K73" s="4"/>
      <c r="L73" s="4"/>
      <c r="M73" s="5"/>
      <c r="N73" s="5"/>
      <c r="O73" s="5"/>
      <c r="P73" s="5"/>
      <c r="Q73" s="5"/>
      <c r="R73" s="5"/>
      <c r="S73" s="6"/>
      <c r="T73" s="17"/>
      <c r="U73" s="9"/>
      <c r="V73" s="5"/>
      <c r="W73" s="5"/>
      <c r="X73" s="11"/>
      <c r="Z73" s="5"/>
      <c r="AA73" s="9"/>
      <c r="AB73" s="5"/>
      <c r="AC73" s="13"/>
      <c r="AD73" s="13"/>
      <c r="AE73" s="5"/>
      <c r="AF73" s="5"/>
      <c r="AG73" s="5"/>
      <c r="AH73" s="5"/>
      <c r="AJ73" s="15"/>
      <c r="AK73" s="15"/>
      <c r="AL73" s="16"/>
    </row>
    <row r="74" spans="1:38" x14ac:dyDescent="0.35">
      <c r="A74" s="8" t="s">
        <v>61</v>
      </c>
      <c r="B74" s="6">
        <v>39.282861130000001</v>
      </c>
      <c r="C74" s="6">
        <v>175.5322041</v>
      </c>
      <c r="D74" s="12">
        <v>1815.942</v>
      </c>
      <c r="E74" s="13"/>
      <c r="F74" s="13"/>
      <c r="G74" s="6">
        <v>0.99294000000000004</v>
      </c>
      <c r="H74" s="14">
        <v>2.1090909090909089</v>
      </c>
      <c r="I74" s="14">
        <v>2.6236019599999998</v>
      </c>
      <c r="J74" s="3">
        <v>3.65</v>
      </c>
      <c r="K74" s="4">
        <f t="shared" si="32"/>
        <v>446.322</v>
      </c>
      <c r="L74" s="4">
        <f t="shared" si="33"/>
        <v>45.077500000000001</v>
      </c>
      <c r="M74" s="5">
        <v>65244.435724984301</v>
      </c>
      <c r="N74" s="5">
        <f>M74*0.1</f>
        <v>6524.4435724984305</v>
      </c>
      <c r="O74" s="5">
        <f t="shared" si="25"/>
        <v>146.18243269429763</v>
      </c>
      <c r="P74" s="5">
        <f t="shared" si="26"/>
        <v>20.776703743513394</v>
      </c>
      <c r="Q74" s="5">
        <f t="shared" si="39"/>
        <v>5.9000000000000003E-6</v>
      </c>
      <c r="R74" s="5">
        <f t="shared" si="34"/>
        <v>2.6000000000000001E-6</v>
      </c>
      <c r="S74" s="6">
        <f t="shared" si="38"/>
        <v>0.99913752364710362</v>
      </c>
      <c r="T74" s="6">
        <f t="shared" ref="T74:T104" si="42">(O74*Q74)*SQRT((P74/O74)^2+(R74/Q74)^2)</f>
        <v>3.9935319530990879E-4</v>
      </c>
      <c r="U74" s="9">
        <v>3490000</v>
      </c>
      <c r="V74" s="5">
        <v>242000</v>
      </c>
      <c r="W74" s="5">
        <v>6.2306287495650495E-2</v>
      </c>
      <c r="X74" s="11">
        <v>8.0000000000000002E-3</v>
      </c>
      <c r="Y74" s="3">
        <f>W74*X74*1000000</f>
        <v>498.45029996520395</v>
      </c>
      <c r="Z74" s="5">
        <f t="shared" si="27"/>
        <v>49.845029996520395</v>
      </c>
      <c r="AA74" s="9">
        <v>3020000000</v>
      </c>
      <c r="AB74" s="5">
        <v>486000000</v>
      </c>
      <c r="AC74" s="13">
        <f t="shared" si="35"/>
        <v>831.38786983658099</v>
      </c>
      <c r="AD74" s="13">
        <f t="shared" si="36"/>
        <v>145.6844906031418</v>
      </c>
      <c r="AE74" s="5">
        <f t="shared" si="28"/>
        <v>17818</v>
      </c>
      <c r="AF74" s="5">
        <f t="shared" si="29"/>
        <v>8359.1797899076191</v>
      </c>
      <c r="AG74" s="5">
        <f t="shared" si="40"/>
        <v>3472182</v>
      </c>
      <c r="AH74" s="5">
        <f t="shared" si="41"/>
        <v>242144.32862811387</v>
      </c>
      <c r="AI74" s="9">
        <f t="shared" si="19"/>
        <v>3475179.2599337688</v>
      </c>
      <c r="AJ74" s="15">
        <f t="shared" si="37"/>
        <v>242357.33314539952</v>
      </c>
      <c r="AK74" s="15">
        <f t="shared" si="30"/>
        <v>484714.66629079904</v>
      </c>
      <c r="AL74" s="16">
        <f t="shared" si="31"/>
        <v>0.99575336960852978</v>
      </c>
    </row>
    <row r="75" spans="1:38" x14ac:dyDescent="0.35">
      <c r="A75" s="8" t="s">
        <v>62</v>
      </c>
      <c r="B75" s="6">
        <v>39.282866720000001</v>
      </c>
      <c r="C75" s="6">
        <v>175.53209039999999</v>
      </c>
      <c r="D75" s="12">
        <v>1813.9090000000001</v>
      </c>
      <c r="E75" s="13">
        <v>13</v>
      </c>
      <c r="F75" s="13">
        <v>220</v>
      </c>
      <c r="G75" s="6">
        <v>0.99294000000000004</v>
      </c>
      <c r="H75" s="14">
        <v>2.2403846153846154</v>
      </c>
      <c r="I75" s="14">
        <v>5.1928874999999994</v>
      </c>
      <c r="J75" s="3">
        <v>3.67</v>
      </c>
      <c r="K75" s="4">
        <f t="shared" si="32"/>
        <v>448.76760000000002</v>
      </c>
      <c r="L75" s="4">
        <f t="shared" si="33"/>
        <v>45.3245</v>
      </c>
      <c r="M75" s="5">
        <v>65244.435724984301</v>
      </c>
      <c r="N75" s="5">
        <f>M75*0.1</f>
        <v>6524.4435724984305</v>
      </c>
      <c r="O75" s="5">
        <f t="shared" si="25"/>
        <v>145.38579818370198</v>
      </c>
      <c r="P75" s="5">
        <f t="shared" si="26"/>
        <v>20.663479199952011</v>
      </c>
      <c r="Q75" s="5">
        <f t="shared" si="39"/>
        <v>5.9000000000000003E-6</v>
      </c>
      <c r="R75" s="5">
        <f t="shared" si="34"/>
        <v>2.6000000000000001E-6</v>
      </c>
      <c r="S75" s="6">
        <f t="shared" si="38"/>
        <v>0.99914222379071616</v>
      </c>
      <c r="T75" s="6">
        <f t="shared" si="42"/>
        <v>3.9717688361884656E-4</v>
      </c>
      <c r="U75" s="9">
        <v>3820000</v>
      </c>
      <c r="V75" s="5">
        <v>233000</v>
      </c>
      <c r="W75" s="5">
        <v>6.2306287495650495E-2</v>
      </c>
      <c r="X75" s="11">
        <v>8.0000000000000002E-3</v>
      </c>
      <c r="Y75" s="3">
        <f>W75*X75*1000000</f>
        <v>498.45029996520395</v>
      </c>
      <c r="Z75" s="5">
        <f t="shared" si="27"/>
        <v>49.845029996520395</v>
      </c>
      <c r="AA75" s="9">
        <v>3720000000</v>
      </c>
      <c r="AB75" s="5">
        <v>435000000</v>
      </c>
      <c r="AC75" s="13">
        <f t="shared" si="35"/>
        <v>738.76382764755942</v>
      </c>
      <c r="AD75" s="13">
        <f t="shared" si="36"/>
        <v>97.433591130830578</v>
      </c>
      <c r="AE75" s="5">
        <f t="shared" si="28"/>
        <v>21948</v>
      </c>
      <c r="AF75" s="5">
        <f t="shared" si="29"/>
        <v>10006.723052528236</v>
      </c>
      <c r="AG75" s="5">
        <f t="shared" si="40"/>
        <v>3798052</v>
      </c>
      <c r="AH75" s="5">
        <f t="shared" si="41"/>
        <v>233214.78192055065</v>
      </c>
      <c r="AI75" s="9">
        <f t="shared" si="19"/>
        <v>3801312.675577159</v>
      </c>
      <c r="AJ75" s="15">
        <f t="shared" si="37"/>
        <v>233419.89097406704</v>
      </c>
      <c r="AK75" s="15">
        <f t="shared" si="30"/>
        <v>466839.78194813407</v>
      </c>
      <c r="AL75" s="16">
        <f t="shared" si="31"/>
        <v>0.99510803025580075</v>
      </c>
    </row>
    <row r="76" spans="1:38" x14ac:dyDescent="0.35">
      <c r="A76" s="8" t="s">
        <v>63</v>
      </c>
      <c r="B76" s="6">
        <v>39.282880380000002</v>
      </c>
      <c r="C76" s="6">
        <v>175.53205310000001</v>
      </c>
      <c r="D76" s="12">
        <v>1812.105</v>
      </c>
      <c r="E76" s="13"/>
      <c r="F76" s="13"/>
      <c r="G76" s="6">
        <v>0.99294000000000004</v>
      </c>
      <c r="H76" s="14">
        <v>2.2236286919831225</v>
      </c>
      <c r="I76" s="14">
        <v>3.9851441950000002</v>
      </c>
      <c r="J76" s="3">
        <v>3.48</v>
      </c>
      <c r="K76" s="4">
        <f t="shared" si="32"/>
        <v>425.53440000000001</v>
      </c>
      <c r="L76" s="4">
        <f t="shared" si="33"/>
        <v>42.978000000000002</v>
      </c>
      <c r="M76" s="5">
        <v>65244.435724984301</v>
      </c>
      <c r="N76" s="5">
        <f>M76*0.1</f>
        <v>6524.4435724984305</v>
      </c>
      <c r="O76" s="5">
        <f t="shared" si="25"/>
        <v>153.32352854430641</v>
      </c>
      <c r="P76" s="5">
        <f t="shared" si="26"/>
        <v>21.791657662018359</v>
      </c>
      <c r="Q76" s="5">
        <f t="shared" si="39"/>
        <v>5.9000000000000003E-6</v>
      </c>
      <c r="R76" s="5">
        <f t="shared" si="34"/>
        <v>2.6000000000000001E-6</v>
      </c>
      <c r="S76" s="6">
        <f t="shared" si="38"/>
        <v>0.99909539118158863</v>
      </c>
      <c r="T76" s="6">
        <f t="shared" si="42"/>
        <v>4.1886182841412845E-4</v>
      </c>
      <c r="U76" s="9">
        <v>2470000</v>
      </c>
      <c r="V76" s="5">
        <v>191000</v>
      </c>
      <c r="W76" s="5">
        <v>6.2306287495650495E-2</v>
      </c>
      <c r="X76" s="11">
        <v>8.0000000000000002E-3</v>
      </c>
      <c r="Y76" s="3">
        <f>W76*X76*1000000</f>
        <v>498.45029996520395</v>
      </c>
      <c r="Z76" s="5">
        <f t="shared" si="27"/>
        <v>49.845029996520395</v>
      </c>
      <c r="AA76" s="9">
        <v>2310000000</v>
      </c>
      <c r="AB76" s="5">
        <v>562000000</v>
      </c>
      <c r="AC76" s="13">
        <f t="shared" si="35"/>
        <v>769.25472608925838</v>
      </c>
      <c r="AD76" s="13">
        <f t="shared" si="36"/>
        <v>196.37802283308244</v>
      </c>
      <c r="AE76" s="5">
        <f t="shared" si="28"/>
        <v>13629</v>
      </c>
      <c r="AF76" s="5">
        <f t="shared" si="29"/>
        <v>6860.5076809227467</v>
      </c>
      <c r="AG76" s="5">
        <f t="shared" si="40"/>
        <v>2456371</v>
      </c>
      <c r="AH76" s="5">
        <f t="shared" si="41"/>
        <v>191123.17118978535</v>
      </c>
      <c r="AI76" s="9">
        <f t="shared" si="19"/>
        <v>2458595.0667783106</v>
      </c>
      <c r="AJ76" s="15">
        <f t="shared" si="37"/>
        <v>191298.99634892319</v>
      </c>
      <c r="AK76" s="15">
        <f t="shared" si="30"/>
        <v>382597.99269784638</v>
      </c>
      <c r="AL76" s="16">
        <f t="shared" si="31"/>
        <v>0.99538261812887063</v>
      </c>
    </row>
    <row r="77" spans="1:38" x14ac:dyDescent="0.35">
      <c r="A77" s="8" t="s">
        <v>64</v>
      </c>
      <c r="B77" s="6">
        <v>39.28285434</v>
      </c>
      <c r="C77" s="6">
        <v>175.53224829999999</v>
      </c>
      <c r="D77" s="12">
        <v>1817.502</v>
      </c>
      <c r="E77" s="13"/>
      <c r="F77" s="13"/>
      <c r="G77" s="6">
        <v>0.99294000000000004</v>
      </c>
      <c r="H77" s="14">
        <v>2.0628930817610063</v>
      </c>
      <c r="I77" s="14">
        <v>3.2159444440000002</v>
      </c>
      <c r="J77" s="3">
        <v>3.68</v>
      </c>
      <c r="K77" s="4">
        <f t="shared" si="32"/>
        <v>449.99040000000002</v>
      </c>
      <c r="L77" s="4">
        <f t="shared" si="33"/>
        <v>45.448</v>
      </c>
      <c r="M77" s="5">
        <v>65244.435724984301</v>
      </c>
      <c r="N77" s="5">
        <f>M77*0.1</f>
        <v>6524.4435724984305</v>
      </c>
      <c r="O77" s="5">
        <f t="shared" si="25"/>
        <v>144.99072807994193</v>
      </c>
      <c r="P77" s="5">
        <f t="shared" si="26"/>
        <v>20.607328441256492</v>
      </c>
      <c r="Q77" s="5">
        <f t="shared" si="39"/>
        <v>5.9000000000000003E-6</v>
      </c>
      <c r="R77" s="5">
        <f t="shared" si="34"/>
        <v>2.6000000000000001E-6</v>
      </c>
      <c r="S77" s="6">
        <f t="shared" si="38"/>
        <v>0.99914455470432839</v>
      </c>
      <c r="T77" s="6">
        <f t="shared" si="42"/>
        <v>3.9609759860901277E-4</v>
      </c>
      <c r="U77" s="9">
        <v>3910000</v>
      </c>
      <c r="V77" s="5">
        <v>254000</v>
      </c>
      <c r="W77" s="5">
        <v>6.2306287495650495E-2</v>
      </c>
      <c r="X77" s="11">
        <v>8.0000000000000002E-3</v>
      </c>
      <c r="Y77" s="3">
        <f>W77*X77*1000000</f>
        <v>498.45029996520395</v>
      </c>
      <c r="Z77" s="5">
        <f t="shared" si="27"/>
        <v>49.845029996520395</v>
      </c>
      <c r="AA77" s="9">
        <v>4210000000</v>
      </c>
      <c r="AB77" s="5">
        <v>490000000</v>
      </c>
      <c r="AC77" s="13">
        <f t="shared" si="35"/>
        <v>668.15905945077668</v>
      </c>
      <c r="AD77" s="13">
        <f t="shared" si="36"/>
        <v>89.059716075645355</v>
      </c>
      <c r="AE77" s="5">
        <f t="shared" si="28"/>
        <v>24839</v>
      </c>
      <c r="AF77" s="5">
        <f t="shared" si="29"/>
        <v>11321.34254406252</v>
      </c>
      <c r="AG77" s="5">
        <f t="shared" si="40"/>
        <v>3885161</v>
      </c>
      <c r="AH77" s="5">
        <f t="shared" si="41"/>
        <v>254252.1834655506</v>
      </c>
      <c r="AI77" s="9">
        <f t="shared" si="19"/>
        <v>3888487.3882435514</v>
      </c>
      <c r="AJ77" s="15">
        <f t="shared" si="37"/>
        <v>254474.53767805471</v>
      </c>
      <c r="AK77" s="15">
        <f t="shared" si="30"/>
        <v>508949.07535610942</v>
      </c>
      <c r="AL77" s="16">
        <f t="shared" si="31"/>
        <v>0.99449805325922025</v>
      </c>
    </row>
    <row r="78" spans="1:38" x14ac:dyDescent="0.35">
      <c r="A78" s="8" t="s">
        <v>65</v>
      </c>
      <c r="B78" s="6">
        <v>39.282869320000003</v>
      </c>
      <c r="C78" s="6">
        <v>175.532544</v>
      </c>
      <c r="D78" s="12">
        <v>1822.789</v>
      </c>
      <c r="E78" s="13"/>
      <c r="F78" s="13"/>
      <c r="G78" s="6">
        <v>0.99294000000000004</v>
      </c>
      <c r="H78" s="14">
        <v>2.2000000000000002</v>
      </c>
      <c r="I78" s="14">
        <v>4.0253636359999998</v>
      </c>
      <c r="J78" s="3">
        <v>3.65</v>
      </c>
      <c r="K78" s="4">
        <f t="shared" si="32"/>
        <v>446.322</v>
      </c>
      <c r="L78" s="4">
        <f t="shared" si="33"/>
        <v>45.077500000000001</v>
      </c>
      <c r="M78" s="5">
        <v>65244.435724984301</v>
      </c>
      <c r="N78" s="5">
        <f>M78*0.1</f>
        <v>6524.4435724984305</v>
      </c>
      <c r="O78" s="5">
        <f t="shared" si="25"/>
        <v>146.18243269429763</v>
      </c>
      <c r="P78" s="5">
        <f t="shared" si="26"/>
        <v>20.776703743513394</v>
      </c>
      <c r="Q78" s="5">
        <f t="shared" si="39"/>
        <v>5.9000000000000003E-6</v>
      </c>
      <c r="R78" s="5">
        <f t="shared" si="34"/>
        <v>2.6000000000000001E-6</v>
      </c>
      <c r="S78" s="6">
        <f t="shared" si="38"/>
        <v>0.99913752364710362</v>
      </c>
      <c r="T78" s="6">
        <f t="shared" si="42"/>
        <v>3.9935319530990879E-4</v>
      </c>
      <c r="U78" s="9">
        <v>3300000</v>
      </c>
      <c r="V78" s="5">
        <v>204000</v>
      </c>
      <c r="W78" s="5">
        <v>6.2306287495650495E-2</v>
      </c>
      <c r="X78" s="11">
        <v>8.0000000000000002E-3</v>
      </c>
      <c r="Y78" s="3">
        <f>W78*X78*1000000</f>
        <v>498.45029996520395</v>
      </c>
      <c r="Z78" s="5">
        <f t="shared" si="27"/>
        <v>49.845029996520395</v>
      </c>
      <c r="AA78" s="9">
        <v>1450000000</v>
      </c>
      <c r="AB78" s="5">
        <v>345000000</v>
      </c>
      <c r="AC78" s="13">
        <f t="shared" si="35"/>
        <v>1637.3108409823865</v>
      </c>
      <c r="AD78" s="13">
        <f t="shared" si="36"/>
        <v>402.50104274247343</v>
      </c>
      <c r="AE78" s="5">
        <f t="shared" si="28"/>
        <v>8555</v>
      </c>
      <c r="AF78" s="5">
        <f t="shared" si="29"/>
        <v>4284.4089732424009</v>
      </c>
      <c r="AG78" s="5">
        <f t="shared" si="40"/>
        <v>3291445</v>
      </c>
      <c r="AH78" s="5">
        <f t="shared" si="41"/>
        <v>204044.98562878236</v>
      </c>
      <c r="AI78" s="9">
        <f t="shared" si="19"/>
        <v>3294286.243985109</v>
      </c>
      <c r="AJ78" s="15">
        <f t="shared" si="37"/>
        <v>204225.3662587466</v>
      </c>
      <c r="AK78" s="15">
        <f t="shared" si="30"/>
        <v>408450.73251749319</v>
      </c>
      <c r="AL78" s="16">
        <f t="shared" si="31"/>
        <v>0.9982685587833664</v>
      </c>
    </row>
    <row r="79" spans="1:38" x14ac:dyDescent="0.35">
      <c r="A79" s="8"/>
      <c r="B79" s="6"/>
      <c r="C79" s="6"/>
      <c r="D79" s="12"/>
      <c r="E79" s="13"/>
      <c r="F79" s="13"/>
      <c r="G79" s="6"/>
      <c r="K79" s="4"/>
      <c r="L79" s="4"/>
      <c r="M79" s="5"/>
      <c r="N79" s="5"/>
      <c r="O79" s="5"/>
      <c r="P79" s="5"/>
      <c r="Q79" s="5"/>
      <c r="R79" s="5"/>
      <c r="S79" s="6"/>
      <c r="T79" s="17"/>
      <c r="U79" s="9"/>
      <c r="V79" s="5"/>
      <c r="W79" s="5"/>
      <c r="X79" s="11"/>
      <c r="Z79" s="5"/>
      <c r="AA79" s="9"/>
      <c r="AB79" s="5"/>
      <c r="AC79" s="13"/>
      <c r="AD79" s="13"/>
      <c r="AE79" s="5"/>
      <c r="AF79" s="5"/>
      <c r="AG79" s="5"/>
      <c r="AH79" s="5"/>
      <c r="AJ79" s="15"/>
      <c r="AK79" s="15"/>
      <c r="AL79" s="16"/>
    </row>
    <row r="80" spans="1:38" x14ac:dyDescent="0.35">
      <c r="A80" s="8" t="s">
        <v>66</v>
      </c>
      <c r="B80" s="6">
        <v>39.28447285</v>
      </c>
      <c r="C80" s="6">
        <v>175.53044199999999</v>
      </c>
      <c r="D80" s="12">
        <v>1750.5719999999999</v>
      </c>
      <c r="E80" s="13">
        <v>36</v>
      </c>
      <c r="F80" s="13">
        <v>170</v>
      </c>
      <c r="G80" s="6">
        <v>0.95453399999999999</v>
      </c>
      <c r="H80" s="14">
        <v>2.233160621761658</v>
      </c>
      <c r="I80" s="14">
        <v>4.9685384619999997</v>
      </c>
      <c r="J80" s="3">
        <v>3.39</v>
      </c>
      <c r="K80" s="4">
        <f t="shared" si="32"/>
        <v>414.5292</v>
      </c>
      <c r="L80" s="4">
        <f t="shared" si="33"/>
        <v>41.866500000000002</v>
      </c>
      <c r="M80" s="5">
        <v>75883.169364371322</v>
      </c>
      <c r="N80" s="5">
        <f>M80*0.1</f>
        <v>7588.3169364371324</v>
      </c>
      <c r="O80" s="5">
        <f t="shared" si="25"/>
        <v>183.0586828729347</v>
      </c>
      <c r="P80" s="5">
        <f t="shared" si="26"/>
        <v>26.017873362953669</v>
      </c>
      <c r="Q80" s="5">
        <f t="shared" si="39"/>
        <v>5.9000000000000003E-6</v>
      </c>
      <c r="R80" s="5">
        <f t="shared" si="34"/>
        <v>2.6000000000000001E-6</v>
      </c>
      <c r="S80" s="6">
        <f t="shared" si="38"/>
        <v>0.9989199537710497</v>
      </c>
      <c r="T80" s="6">
        <f t="shared" si="42"/>
        <v>5.000947691670305E-4</v>
      </c>
      <c r="U80" s="9">
        <v>2580000</v>
      </c>
      <c r="V80" s="5">
        <v>159000</v>
      </c>
      <c r="W80" s="5">
        <v>9.0124728442900107E-2</v>
      </c>
      <c r="X80" s="11">
        <v>0.01</v>
      </c>
      <c r="Y80" s="3">
        <f>W80*X80*1000000</f>
        <v>901.24728442900107</v>
      </c>
      <c r="Z80" s="5">
        <f t="shared" si="27"/>
        <v>90.124728442900107</v>
      </c>
      <c r="AA80" s="9">
        <v>5000000000</v>
      </c>
      <c r="AB80" s="5">
        <v>365000000</v>
      </c>
      <c r="AC80" s="13">
        <f t="shared" si="35"/>
        <v>371.22302158273379</v>
      </c>
      <c r="AD80" s="13">
        <f t="shared" si="36"/>
        <v>35.464913171318479</v>
      </c>
      <c r="AE80" s="5">
        <f t="shared" si="28"/>
        <v>29500</v>
      </c>
      <c r="AF80" s="5">
        <f t="shared" si="29"/>
        <v>13177.160629285811</v>
      </c>
      <c r="AG80" s="5">
        <f t="shared" si="40"/>
        <v>2550500</v>
      </c>
      <c r="AH80" s="5">
        <f t="shared" si="41"/>
        <v>159545.09570102743</v>
      </c>
      <c r="AI80" s="9">
        <f t="shared" si="19"/>
        <v>2553257.6362816044</v>
      </c>
      <c r="AJ80" s="15">
        <f t="shared" si="37"/>
        <v>159722.71305718613</v>
      </c>
      <c r="AK80" s="15">
        <f t="shared" si="30"/>
        <v>319445.42611437227</v>
      </c>
      <c r="AL80" s="16">
        <f t="shared" si="31"/>
        <v>0.98963474274480789</v>
      </c>
    </row>
    <row r="81" spans="1:38" x14ac:dyDescent="0.35">
      <c r="A81" s="8" t="s">
        <v>67</v>
      </c>
      <c r="B81" s="6">
        <v>39.284479760000004</v>
      </c>
      <c r="C81" s="6">
        <v>175.5305133</v>
      </c>
      <c r="D81" s="12">
        <v>1751.374</v>
      </c>
      <c r="E81" s="13"/>
      <c r="F81" s="13"/>
      <c r="G81" s="6">
        <v>0.99230799999999997</v>
      </c>
      <c r="H81" s="14">
        <v>2.4117647058823528</v>
      </c>
      <c r="I81" s="14">
        <v>4.0098947369999998</v>
      </c>
      <c r="J81" s="3">
        <v>3.37</v>
      </c>
      <c r="K81" s="4">
        <f t="shared" si="32"/>
        <v>412.08359999999999</v>
      </c>
      <c r="L81" s="4">
        <f t="shared" si="33"/>
        <v>41.619500000000002</v>
      </c>
      <c r="M81" s="5">
        <v>75883.169364371322</v>
      </c>
      <c r="N81" s="5">
        <f>M81*0.1</f>
        <v>7588.3169364371324</v>
      </c>
      <c r="O81" s="5">
        <f t="shared" si="25"/>
        <v>184.14508455170582</v>
      </c>
      <c r="P81" s="5">
        <f t="shared" si="26"/>
        <v>26.17228210694746</v>
      </c>
      <c r="Q81" s="5">
        <f t="shared" si="39"/>
        <v>5.9000000000000003E-6</v>
      </c>
      <c r="R81" s="5">
        <f t="shared" si="34"/>
        <v>2.6000000000000001E-6</v>
      </c>
      <c r="S81" s="6">
        <f t="shared" si="38"/>
        <v>0.99891354400114496</v>
      </c>
      <c r="T81" s="6">
        <f t="shared" si="42"/>
        <v>5.0306269064576657E-4</v>
      </c>
      <c r="U81" s="9">
        <v>2510000</v>
      </c>
      <c r="V81" s="5">
        <v>166000</v>
      </c>
      <c r="W81" s="5">
        <v>9.0124728442900107E-2</v>
      </c>
      <c r="X81" s="11">
        <v>0.01</v>
      </c>
      <c r="Y81" s="3">
        <f>W81*X81*1000000</f>
        <v>901.24728442900107</v>
      </c>
      <c r="Z81" s="5">
        <f t="shared" si="27"/>
        <v>90.124728442900107</v>
      </c>
      <c r="AA81" s="9">
        <v>1160000000</v>
      </c>
      <c r="AB81" s="5">
        <v>524000000</v>
      </c>
      <c r="AC81" s="13">
        <f t="shared" si="35"/>
        <v>1556.6856859340114</v>
      </c>
      <c r="AD81" s="13">
        <f t="shared" si="36"/>
        <v>710.68898302675154</v>
      </c>
      <c r="AE81" s="5">
        <f t="shared" si="28"/>
        <v>6844</v>
      </c>
      <c r="AF81" s="5">
        <f t="shared" si="29"/>
        <v>4319.0562117203335</v>
      </c>
      <c r="AG81" s="5">
        <f t="shared" si="40"/>
        <v>2503156</v>
      </c>
      <c r="AH81" s="5">
        <f t="shared" si="41"/>
        <v>166056.17798371732</v>
      </c>
      <c r="AI81" s="9">
        <f t="shared" si="19"/>
        <v>2505878.5267577982</v>
      </c>
      <c r="AJ81" s="15">
        <f t="shared" si="37"/>
        <v>166241.57704336324</v>
      </c>
      <c r="AK81" s="15">
        <f t="shared" si="30"/>
        <v>332483.15408672648</v>
      </c>
      <c r="AL81" s="16">
        <f t="shared" si="31"/>
        <v>0.99835797878796739</v>
      </c>
    </row>
    <row r="82" spans="1:38" x14ac:dyDescent="0.35">
      <c r="A82" s="8" t="s">
        <v>68</v>
      </c>
      <c r="B82" s="6">
        <v>39.284486800000003</v>
      </c>
      <c r="C82" s="6">
        <v>175.53047430000001</v>
      </c>
      <c r="D82" s="12">
        <v>1750.94</v>
      </c>
      <c r="E82" s="13"/>
      <c r="F82" s="13"/>
      <c r="G82" s="6">
        <v>0.99230799999999997</v>
      </c>
      <c r="H82" s="14">
        <v>2.3283582089552239</v>
      </c>
      <c r="I82" s="14">
        <v>4.1040324990000006</v>
      </c>
      <c r="J82" s="3">
        <v>3.28</v>
      </c>
      <c r="K82" s="4">
        <f t="shared" si="32"/>
        <v>401.07839999999999</v>
      </c>
      <c r="L82" s="4">
        <f t="shared" si="33"/>
        <v>40.507999999999996</v>
      </c>
      <c r="M82" s="5">
        <v>75883.169364371322</v>
      </c>
      <c r="N82" s="5">
        <f>M82*0.1</f>
        <v>7588.3169364371324</v>
      </c>
      <c r="O82" s="5">
        <f t="shared" si="25"/>
        <v>189.19784601806361</v>
      </c>
      <c r="P82" s="5">
        <f t="shared" si="26"/>
        <v>26.890423994028335</v>
      </c>
      <c r="Q82" s="5">
        <f t="shared" si="39"/>
        <v>5.9000000000000003E-6</v>
      </c>
      <c r="R82" s="5">
        <f t="shared" si="34"/>
        <v>2.6000000000000001E-6</v>
      </c>
      <c r="S82" s="6">
        <f t="shared" si="38"/>
        <v>0.9988837327084934</v>
      </c>
      <c r="T82" s="6">
        <f t="shared" si="42"/>
        <v>5.1686624008421753E-4</v>
      </c>
      <c r="U82" s="9">
        <v>2080000</v>
      </c>
      <c r="V82" s="5">
        <v>163000</v>
      </c>
      <c r="W82" s="5">
        <v>9.0124728442900107E-2</v>
      </c>
      <c r="X82" s="11">
        <v>0.01</v>
      </c>
      <c r="Y82" s="3">
        <f>W82*X82*1000000</f>
        <v>901.24728442900107</v>
      </c>
      <c r="Z82" s="5">
        <f t="shared" si="27"/>
        <v>90.124728442900107</v>
      </c>
      <c r="AA82" s="9">
        <v>4046000000</v>
      </c>
      <c r="AB82" s="5">
        <v>1050000000</v>
      </c>
      <c r="AC82" s="13">
        <f t="shared" si="35"/>
        <v>369.84747347944682</v>
      </c>
      <c r="AD82" s="13">
        <f t="shared" si="36"/>
        <v>100.26173122614763</v>
      </c>
      <c r="AE82" s="5">
        <f t="shared" si="28"/>
        <v>23871.4</v>
      </c>
      <c r="AF82" s="5">
        <f t="shared" si="29"/>
        <v>12208.194344783344</v>
      </c>
      <c r="AG82" s="5">
        <f t="shared" si="40"/>
        <v>2056128.6</v>
      </c>
      <c r="AH82" s="5">
        <f t="shared" si="41"/>
        <v>163456.53859408622</v>
      </c>
      <c r="AI82" s="9">
        <f t="shared" si="19"/>
        <v>2058426.3540109578</v>
      </c>
      <c r="AJ82" s="15">
        <f t="shared" si="37"/>
        <v>163642.67005675251</v>
      </c>
      <c r="AK82" s="15">
        <f t="shared" si="30"/>
        <v>327285.34011350502</v>
      </c>
      <c r="AL82" s="16">
        <f t="shared" si="31"/>
        <v>0.98962805481296046</v>
      </c>
    </row>
    <row r="83" spans="1:38" x14ac:dyDescent="0.35">
      <c r="A83" s="8"/>
      <c r="B83" s="6"/>
      <c r="C83" s="6"/>
      <c r="D83" s="12"/>
      <c r="E83" s="13"/>
      <c r="F83" s="13"/>
      <c r="G83" s="6"/>
      <c r="K83" s="4"/>
      <c r="L83" s="4"/>
      <c r="M83" s="5"/>
      <c r="N83" s="5"/>
      <c r="O83" s="5"/>
      <c r="P83" s="5"/>
      <c r="Q83" s="5"/>
      <c r="R83" s="5"/>
      <c r="S83" s="6"/>
      <c r="T83" s="6"/>
      <c r="U83" s="9"/>
      <c r="V83" s="5"/>
      <c r="W83" s="5"/>
      <c r="X83" s="11"/>
      <c r="Z83" s="5"/>
      <c r="AA83" s="9"/>
      <c r="AB83" s="5"/>
      <c r="AC83" s="13"/>
      <c r="AD83" s="13"/>
      <c r="AE83" s="5"/>
      <c r="AF83" s="5"/>
      <c r="AG83" s="5"/>
      <c r="AH83" s="5"/>
      <c r="AJ83" s="15"/>
      <c r="AK83" s="15"/>
      <c r="AL83" s="16"/>
    </row>
    <row r="84" spans="1:38" x14ac:dyDescent="0.35">
      <c r="A84" s="8" t="s">
        <v>69</v>
      </c>
      <c r="B84" s="6">
        <v>39.295817149999998</v>
      </c>
      <c r="C84" s="6">
        <v>175.53948980000001</v>
      </c>
      <c r="D84" s="12">
        <v>1924.0350000000001</v>
      </c>
      <c r="E84" s="13">
        <v>7</v>
      </c>
      <c r="F84" s="13">
        <v>300</v>
      </c>
      <c r="G84" s="6">
        <v>0.99581299999999995</v>
      </c>
      <c r="H84" s="14">
        <v>1.963157894736842</v>
      </c>
      <c r="I84" s="14">
        <v>3.150217391</v>
      </c>
      <c r="J84" s="3">
        <v>4.08</v>
      </c>
      <c r="K84" s="4">
        <f t="shared" si="32"/>
        <v>498.9024</v>
      </c>
      <c r="L84" s="4">
        <f t="shared" si="33"/>
        <v>50.387999999999998</v>
      </c>
      <c r="M84" s="5">
        <v>181311.69638953629</v>
      </c>
      <c r="N84" s="5">
        <f>M84*0.1</f>
        <v>18131.16963895363</v>
      </c>
      <c r="O84" s="5">
        <f t="shared" si="25"/>
        <v>363.42117494230592</v>
      </c>
      <c r="P84" s="5">
        <f t="shared" si="26"/>
        <v>51.652540915679985</v>
      </c>
      <c r="Q84" s="5">
        <f t="shared" si="39"/>
        <v>5.9000000000000003E-6</v>
      </c>
      <c r="R84" s="5">
        <f t="shared" si="34"/>
        <v>2.6000000000000001E-6</v>
      </c>
      <c r="S84" s="6">
        <f t="shared" si="38"/>
        <v>0.99785581506784038</v>
      </c>
      <c r="T84" s="6">
        <f t="shared" si="42"/>
        <v>9.9282386249515938E-4</v>
      </c>
      <c r="U84" s="9">
        <v>6570000</v>
      </c>
      <c r="V84" s="5">
        <v>333000</v>
      </c>
      <c r="W84" s="5">
        <v>4.1549836783686907E-2</v>
      </c>
      <c r="X84" s="11">
        <v>1.4999999999999999E-2</v>
      </c>
      <c r="Y84" s="3">
        <f t="shared" ref="Y84:Y100" si="43">W84*X84*1000000</f>
        <v>623.24755175530356</v>
      </c>
      <c r="Z84" s="5">
        <f t="shared" si="27"/>
        <v>62.324755175530356</v>
      </c>
      <c r="AA84" s="9">
        <v>23500000000</v>
      </c>
      <c r="AB84" s="5">
        <v>874000000</v>
      </c>
      <c r="AC84" s="13">
        <f t="shared" si="35"/>
        <v>201.1327108525945</v>
      </c>
      <c r="AD84" s="13">
        <f t="shared" si="36"/>
        <v>12.644465320429227</v>
      </c>
      <c r="AE84" s="5">
        <f t="shared" si="28"/>
        <v>138650</v>
      </c>
      <c r="AF84" s="5">
        <f t="shared" si="29"/>
        <v>61317.212294428384</v>
      </c>
      <c r="AG84" s="5">
        <f t="shared" si="40"/>
        <v>6431350</v>
      </c>
      <c r="AH84" s="5">
        <f t="shared" si="41"/>
        <v>338598.28783317847</v>
      </c>
      <c r="AI84" s="9">
        <f t="shared" si="19"/>
        <v>6445169.6356179044</v>
      </c>
      <c r="AJ84" s="15">
        <f t="shared" si="37"/>
        <v>339386.45396382303</v>
      </c>
      <c r="AK84" s="15">
        <f t="shared" si="30"/>
        <v>678772.90792764607</v>
      </c>
      <c r="AL84" s="16">
        <f t="shared" si="31"/>
        <v>0.98099994453849382</v>
      </c>
    </row>
    <row r="85" spans="1:38" x14ac:dyDescent="0.35">
      <c r="A85" s="8" t="s">
        <v>70</v>
      </c>
      <c r="B85" s="6">
        <v>39.295933339999998</v>
      </c>
      <c r="C85" s="6">
        <v>175.53957149999999</v>
      </c>
      <c r="D85" s="12">
        <v>1925.0519999999999</v>
      </c>
      <c r="E85" s="13"/>
      <c r="F85" s="13"/>
      <c r="G85" s="6">
        <v>0.99587499999999995</v>
      </c>
      <c r="H85" s="14">
        <v>2.2064516129032259</v>
      </c>
      <c r="I85" s="14">
        <v>2.8822941179999999</v>
      </c>
      <c r="J85" s="3">
        <v>4.09</v>
      </c>
      <c r="K85" s="4">
        <f t="shared" si="32"/>
        <v>500.12520000000001</v>
      </c>
      <c r="L85" s="4">
        <f t="shared" si="33"/>
        <v>50.511499999999998</v>
      </c>
      <c r="M85" s="5">
        <v>181311.69638953629</v>
      </c>
      <c r="N85" s="5">
        <f>M85*0.1</f>
        <v>18131.16963895363</v>
      </c>
      <c r="O85" s="5">
        <f t="shared" si="25"/>
        <v>362.53261461237361</v>
      </c>
      <c r="P85" s="5">
        <f t="shared" si="26"/>
        <v>51.526251084590299</v>
      </c>
      <c r="Q85" s="5">
        <f t="shared" si="39"/>
        <v>5.9000000000000003E-6</v>
      </c>
      <c r="R85" s="5">
        <f t="shared" si="34"/>
        <v>2.6000000000000001E-6</v>
      </c>
      <c r="S85" s="6">
        <f t="shared" si="38"/>
        <v>0.99786105757378696</v>
      </c>
      <c r="T85" s="6">
        <f t="shared" si="42"/>
        <v>9.9039642028856973E-4</v>
      </c>
      <c r="U85" s="9">
        <v>6930000</v>
      </c>
      <c r="V85" s="5">
        <v>358000</v>
      </c>
      <c r="W85" s="5">
        <v>4.1549836783686907E-2</v>
      </c>
      <c r="X85" s="11">
        <v>1.4999999999999999E-2</v>
      </c>
      <c r="Y85" s="3">
        <f t="shared" si="43"/>
        <v>623.24755175530356</v>
      </c>
      <c r="Z85" s="5">
        <f t="shared" si="27"/>
        <v>62.324755175530356</v>
      </c>
      <c r="AA85" s="9">
        <v>27600000000</v>
      </c>
      <c r="AB85" s="5">
        <v>1070000000</v>
      </c>
      <c r="AC85" s="13">
        <f t="shared" si="35"/>
        <v>180.63809821707849</v>
      </c>
      <c r="AD85" s="13">
        <f t="shared" si="36"/>
        <v>11.667131818684179</v>
      </c>
      <c r="AE85" s="5">
        <f t="shared" si="28"/>
        <v>162840</v>
      </c>
      <c r="AF85" s="5">
        <f t="shared" si="29"/>
        <v>72037.15408731802</v>
      </c>
      <c r="AG85" s="5">
        <f t="shared" si="40"/>
        <v>6767160</v>
      </c>
      <c r="AH85" s="5">
        <f t="shared" si="41"/>
        <v>365175.7817394248</v>
      </c>
      <c r="AI85" s="9">
        <f t="shared" si="19"/>
        <v>6781665.592255665</v>
      </c>
      <c r="AJ85" s="15">
        <f t="shared" si="37"/>
        <v>366020.44050600444</v>
      </c>
      <c r="AK85" s="15">
        <f t="shared" si="30"/>
        <v>732040.88101200887</v>
      </c>
      <c r="AL85" s="16">
        <f t="shared" si="31"/>
        <v>0.97859532355781598</v>
      </c>
    </row>
    <row r="86" spans="1:38" x14ac:dyDescent="0.35">
      <c r="A86" s="8"/>
      <c r="B86" s="6"/>
      <c r="C86" s="6"/>
      <c r="D86" s="12"/>
      <c r="E86" s="13"/>
      <c r="F86" s="13"/>
      <c r="G86" s="6"/>
      <c r="H86" s="14"/>
      <c r="I86" s="14"/>
      <c r="K86" s="4"/>
      <c r="L86" s="4"/>
      <c r="M86" s="5"/>
      <c r="N86" s="5"/>
      <c r="O86" s="5"/>
      <c r="P86" s="5"/>
      <c r="Q86" s="5"/>
      <c r="R86" s="5"/>
      <c r="S86" s="6"/>
      <c r="T86" s="17"/>
      <c r="U86" s="9"/>
      <c r="V86" s="5"/>
      <c r="W86" s="5"/>
      <c r="X86" s="11"/>
      <c r="Z86" s="5"/>
      <c r="AA86" s="9"/>
      <c r="AB86" s="5"/>
      <c r="AC86" s="13"/>
      <c r="AD86" s="13"/>
      <c r="AE86" s="5"/>
      <c r="AF86" s="5"/>
      <c r="AG86" s="5"/>
      <c r="AH86" s="5"/>
      <c r="AJ86" s="15"/>
      <c r="AK86" s="15"/>
      <c r="AL86" s="16"/>
    </row>
    <row r="87" spans="1:38" x14ac:dyDescent="0.35">
      <c r="A87" s="8" t="s">
        <v>71</v>
      </c>
      <c r="B87" s="6">
        <v>39.299753809999999</v>
      </c>
      <c r="C87" s="6">
        <v>175.53919379999999</v>
      </c>
      <c r="D87" s="12">
        <v>1877.5329999999999</v>
      </c>
      <c r="E87" s="13"/>
      <c r="F87" s="13"/>
      <c r="G87" s="6">
        <v>0.99567899999999998</v>
      </c>
      <c r="H87" s="14">
        <v>2.2153846153846155</v>
      </c>
      <c r="I87" s="14">
        <v>3.4131724140000004</v>
      </c>
      <c r="J87" s="3">
        <v>3.54</v>
      </c>
      <c r="K87" s="4">
        <f t="shared" si="32"/>
        <v>432.87119999999999</v>
      </c>
      <c r="L87" s="4">
        <f t="shared" si="33"/>
        <v>43.719000000000001</v>
      </c>
      <c r="M87" s="5">
        <v>125593.05145398108</v>
      </c>
      <c r="N87" s="5">
        <f>M87*0.1</f>
        <v>12559.30514539811</v>
      </c>
      <c r="O87" s="5">
        <f t="shared" si="25"/>
        <v>290.1395414016481</v>
      </c>
      <c r="P87" s="5">
        <f t="shared" si="26"/>
        <v>41.2371253157838</v>
      </c>
      <c r="Q87" s="5">
        <f t="shared" si="39"/>
        <v>5.9000000000000003E-6</v>
      </c>
      <c r="R87" s="5">
        <f t="shared" si="34"/>
        <v>2.6000000000000001E-6</v>
      </c>
      <c r="S87" s="6">
        <f t="shared" si="38"/>
        <v>0.99828817670573022</v>
      </c>
      <c r="T87" s="6">
        <f t="shared" si="42"/>
        <v>7.9262706748633549E-4</v>
      </c>
      <c r="U87" s="9">
        <v>2110000</v>
      </c>
      <c r="V87" s="5">
        <v>140000</v>
      </c>
      <c r="W87" s="5">
        <v>4.388525355765191E-2</v>
      </c>
      <c r="X87" s="11">
        <v>8.0000000000000002E-3</v>
      </c>
      <c r="Y87" s="3">
        <f t="shared" si="43"/>
        <v>351.08202846121526</v>
      </c>
      <c r="Z87" s="5">
        <f t="shared" si="27"/>
        <v>35.108202846121529</v>
      </c>
      <c r="AA87" s="9">
        <v>6600000000</v>
      </c>
      <c r="AB87" s="5">
        <v>584000000</v>
      </c>
      <c r="AC87" s="13">
        <f t="shared" si="35"/>
        <v>229.99781992587748</v>
      </c>
      <c r="AD87" s="13">
        <f t="shared" si="36"/>
        <v>25.437369224151727</v>
      </c>
      <c r="AE87" s="5">
        <f t="shared" si="28"/>
        <v>38940</v>
      </c>
      <c r="AF87" s="5">
        <f t="shared" si="29"/>
        <v>17502.507230679836</v>
      </c>
      <c r="AG87" s="5">
        <f t="shared" si="40"/>
        <v>2071060</v>
      </c>
      <c r="AH87" s="5">
        <f t="shared" si="41"/>
        <v>141089.82160085114</v>
      </c>
      <c r="AI87" s="9">
        <f t="shared" si="19"/>
        <v>2074611.3680664129</v>
      </c>
      <c r="AJ87" s="15">
        <f t="shared" si="37"/>
        <v>141341.35534995244</v>
      </c>
      <c r="AK87" s="15">
        <f t="shared" si="30"/>
        <v>282682.71069990488</v>
      </c>
      <c r="AL87" s="16">
        <f t="shared" si="31"/>
        <v>0.98322813652436625</v>
      </c>
    </row>
    <row r="88" spans="1:38" x14ac:dyDescent="0.35">
      <c r="A88" s="8" t="s">
        <v>72</v>
      </c>
      <c r="B88" s="6">
        <v>39.300103870000001</v>
      </c>
      <c r="C88" s="6">
        <v>175.5390189</v>
      </c>
      <c r="D88" s="12">
        <v>1873.1759999999999</v>
      </c>
      <c r="E88" s="13">
        <v>20</v>
      </c>
      <c r="F88" s="13">
        <v>190</v>
      </c>
      <c r="G88" s="6">
        <v>0.99102500000000004</v>
      </c>
      <c r="H88" s="14">
        <v>2.1388888888888888</v>
      </c>
      <c r="I88" s="14">
        <v>4.1405000000000003</v>
      </c>
      <c r="J88" s="3">
        <v>3.82</v>
      </c>
      <c r="K88" s="4">
        <f t="shared" si="32"/>
        <v>467.1096</v>
      </c>
      <c r="L88" s="4">
        <f t="shared" si="33"/>
        <v>47.177</v>
      </c>
      <c r="M88" s="5">
        <v>125593.05145398108</v>
      </c>
      <c r="N88" s="5">
        <f>M88*0.1</f>
        <v>12559.30514539811</v>
      </c>
      <c r="O88" s="5">
        <f t="shared" si="25"/>
        <v>268.87276873346445</v>
      </c>
      <c r="P88" s="5">
        <f t="shared" si="26"/>
        <v>38.214508800490741</v>
      </c>
      <c r="Q88" s="5">
        <f t="shared" si="39"/>
        <v>5.9000000000000003E-6</v>
      </c>
      <c r="R88" s="5">
        <f t="shared" si="34"/>
        <v>2.6000000000000001E-6</v>
      </c>
      <c r="S88" s="6">
        <f t="shared" si="38"/>
        <v>0.99841365066447252</v>
      </c>
      <c r="T88" s="6">
        <f t="shared" si="42"/>
        <v>7.3452874840356733E-4</v>
      </c>
      <c r="U88" s="9">
        <v>4000000</v>
      </c>
      <c r="V88" s="5">
        <v>237000</v>
      </c>
      <c r="W88" s="5">
        <v>4.388525355765191E-2</v>
      </c>
      <c r="X88" s="11">
        <v>8.0000000000000002E-3</v>
      </c>
      <c r="Y88" s="3">
        <f t="shared" si="43"/>
        <v>351.08202846121526</v>
      </c>
      <c r="Z88" s="5">
        <f t="shared" si="27"/>
        <v>35.108202846121529</v>
      </c>
      <c r="AA88" s="9">
        <v>7380000000</v>
      </c>
      <c r="AB88" s="5">
        <v>453000000</v>
      </c>
      <c r="AC88" s="13">
        <f t="shared" si="35"/>
        <v>389.93195687352556</v>
      </c>
      <c r="AD88" s="13">
        <f t="shared" si="36"/>
        <v>33.266307150617067</v>
      </c>
      <c r="AE88" s="5">
        <f t="shared" si="28"/>
        <v>43542</v>
      </c>
      <c r="AF88" s="5">
        <f t="shared" si="29"/>
        <v>19373.24622488446</v>
      </c>
      <c r="AG88" s="5">
        <f t="shared" si="40"/>
        <v>3956458</v>
      </c>
      <c r="AH88" s="5">
        <f t="shared" si="41"/>
        <v>237790.50163808058</v>
      </c>
      <c r="AI88" s="9">
        <f t="shared" si="19"/>
        <v>3962744.2967820656</v>
      </c>
      <c r="AJ88" s="15">
        <f t="shared" si="37"/>
        <v>238186.16240541486</v>
      </c>
      <c r="AK88" s="15">
        <f t="shared" si="30"/>
        <v>476372.32481082971</v>
      </c>
      <c r="AL88" s="16">
        <f t="shared" si="31"/>
        <v>0.99068607419551646</v>
      </c>
    </row>
    <row r="89" spans="1:38" x14ac:dyDescent="0.35">
      <c r="A89" s="8" t="s">
        <v>73</v>
      </c>
      <c r="B89" s="6">
        <v>39.300061450000001</v>
      </c>
      <c r="C89" s="6">
        <v>175.5389916</v>
      </c>
      <c r="D89" s="12">
        <v>1872.0250000000001</v>
      </c>
      <c r="E89" s="13">
        <v>15</v>
      </c>
      <c r="F89" s="13">
        <v>240</v>
      </c>
      <c r="G89" s="6">
        <v>0.99412766666666663</v>
      </c>
      <c r="H89" s="14">
        <v>2.168686406186406</v>
      </c>
      <c r="I89" s="14">
        <v>2.8346571430000003</v>
      </c>
      <c r="J89" s="3">
        <v>3.81</v>
      </c>
      <c r="K89" s="4">
        <f t="shared" si="32"/>
        <v>465.88679999999999</v>
      </c>
      <c r="L89" s="4">
        <f t="shared" si="33"/>
        <v>47.0535</v>
      </c>
      <c r="M89" s="5">
        <v>125593.05145398108</v>
      </c>
      <c r="N89" s="5">
        <f>M89*0.1</f>
        <v>12559.30514539811</v>
      </c>
      <c r="O89" s="5">
        <f t="shared" si="25"/>
        <v>269.57847153853913</v>
      </c>
      <c r="P89" s="5">
        <f t="shared" si="26"/>
        <v>38.314809348523525</v>
      </c>
      <c r="Q89" s="5">
        <f t="shared" si="39"/>
        <v>5.9000000000000003E-6</v>
      </c>
      <c r="R89" s="5">
        <f t="shared" si="34"/>
        <v>2.6000000000000001E-6</v>
      </c>
      <c r="S89" s="6">
        <f t="shared" si="38"/>
        <v>0.99840948701792265</v>
      </c>
      <c r="T89" s="6">
        <f t="shared" si="42"/>
        <v>7.3645664538100441E-4</v>
      </c>
      <c r="U89" s="9">
        <v>3860000</v>
      </c>
      <c r="V89" s="5">
        <v>252000</v>
      </c>
      <c r="W89" s="5">
        <v>4.388525355765191E-2</v>
      </c>
      <c r="X89" s="11">
        <v>8.0000000000000002E-3</v>
      </c>
      <c r="Y89" s="3">
        <f t="shared" si="43"/>
        <v>351.08202846121526</v>
      </c>
      <c r="Z89" s="5">
        <f t="shared" si="27"/>
        <v>35.108202846121529</v>
      </c>
      <c r="AA89" s="21">
        <v>9310000000</v>
      </c>
      <c r="AB89" s="22">
        <v>618000000</v>
      </c>
      <c r="AC89" s="13">
        <f t="shared" si="35"/>
        <v>298.27909959894595</v>
      </c>
      <c r="AD89" s="13">
        <f t="shared" si="36"/>
        <v>27.771151568086157</v>
      </c>
      <c r="AE89" s="5">
        <f t="shared" si="28"/>
        <v>54929</v>
      </c>
      <c r="AF89" s="5">
        <f t="shared" si="29"/>
        <v>24479.076993220147</v>
      </c>
      <c r="AG89" s="5">
        <f t="shared" si="40"/>
        <v>3805071</v>
      </c>
      <c r="AH89" s="5">
        <f t="shared" si="41"/>
        <v>253186.14735099548</v>
      </c>
      <c r="AI89" s="9">
        <f t="shared" si="19"/>
        <v>3811132.6559657324</v>
      </c>
      <c r="AJ89" s="15">
        <f t="shared" si="37"/>
        <v>253605.06626379828</v>
      </c>
      <c r="AK89" s="15">
        <f t="shared" si="30"/>
        <v>507210.13252759655</v>
      </c>
      <c r="AL89" s="16">
        <f t="shared" si="31"/>
        <v>0.98734006631236593</v>
      </c>
    </row>
    <row r="90" spans="1:38" x14ac:dyDescent="0.35">
      <c r="A90" s="8" t="s">
        <v>94</v>
      </c>
      <c r="B90" s="6">
        <v>39.300265099999997</v>
      </c>
      <c r="C90" s="6">
        <v>175.53913539999999</v>
      </c>
      <c r="D90" s="12">
        <v>1873.3910000000001</v>
      </c>
      <c r="E90" s="13"/>
      <c r="F90" s="13"/>
      <c r="G90" s="6">
        <v>0.99567899999999998</v>
      </c>
      <c r="H90" s="14">
        <v>2.151785714285714</v>
      </c>
      <c r="I90" s="14">
        <v>3.1613846150000002</v>
      </c>
      <c r="J90" s="3">
        <v>3.81</v>
      </c>
      <c r="K90" s="4">
        <f t="shared" si="32"/>
        <v>465.88679999999999</v>
      </c>
      <c r="L90" s="4">
        <f t="shared" si="33"/>
        <v>47.0535</v>
      </c>
      <c r="M90" s="5">
        <v>125593.05145398108</v>
      </c>
      <c r="N90" s="5">
        <f>M90*0.1</f>
        <v>12559.30514539811</v>
      </c>
      <c r="O90" s="5">
        <f t="shared" si="25"/>
        <v>269.57847153853913</v>
      </c>
      <c r="P90" s="5">
        <f t="shared" si="26"/>
        <v>38.314809348523525</v>
      </c>
      <c r="Q90" s="5">
        <f t="shared" si="39"/>
        <v>5.9000000000000003E-6</v>
      </c>
      <c r="R90" s="5">
        <f t="shared" si="34"/>
        <v>2.6000000000000001E-6</v>
      </c>
      <c r="S90" s="6">
        <f t="shared" si="38"/>
        <v>0.99840948701792265</v>
      </c>
      <c r="T90" s="6">
        <f t="shared" si="42"/>
        <v>7.3645664538100441E-4</v>
      </c>
      <c r="U90" s="9">
        <v>3800000</v>
      </c>
      <c r="V90" s="5">
        <v>241000</v>
      </c>
      <c r="W90" s="5">
        <v>4.388525355765191E-2</v>
      </c>
      <c r="X90" s="11">
        <v>8.0000000000000002E-3</v>
      </c>
      <c r="Y90" s="3">
        <f t="shared" si="43"/>
        <v>351.08202846121526</v>
      </c>
      <c r="Z90" s="5">
        <f t="shared" si="27"/>
        <v>35.108202846121529</v>
      </c>
      <c r="AA90" s="9">
        <v>9670000000</v>
      </c>
      <c r="AB90" s="5">
        <v>738000000</v>
      </c>
      <c r="AC90" s="13">
        <f t="shared" si="35"/>
        <v>282.71074970426969</v>
      </c>
      <c r="AD90" s="13">
        <f t="shared" si="36"/>
        <v>28.05360438574801</v>
      </c>
      <c r="AE90" s="5">
        <f t="shared" si="28"/>
        <v>57053</v>
      </c>
      <c r="AF90" s="5">
        <f t="shared" si="29"/>
        <v>25516.254067554666</v>
      </c>
      <c r="AG90" s="5">
        <f t="shared" si="40"/>
        <v>3742947</v>
      </c>
      <c r="AH90" s="5">
        <f t="shared" si="41"/>
        <v>242347.02230817691</v>
      </c>
      <c r="AI90" s="9">
        <f t="shared" si="19"/>
        <v>3748909.6895298329</v>
      </c>
      <c r="AJ90" s="15">
        <f t="shared" si="37"/>
        <v>242748.84365044261</v>
      </c>
      <c r="AK90" s="15">
        <f t="shared" si="30"/>
        <v>485497.68730088521</v>
      </c>
      <c r="AL90" s="16">
        <f t="shared" si="31"/>
        <v>0.98655518145521914</v>
      </c>
    </row>
    <row r="91" spans="1:38" x14ac:dyDescent="0.35">
      <c r="A91" s="8" t="s">
        <v>95</v>
      </c>
      <c r="B91" s="6">
        <v>39.300265099999997</v>
      </c>
      <c r="C91" s="6">
        <v>175.53913539999999</v>
      </c>
      <c r="D91" s="12">
        <v>1873.3910000000001</v>
      </c>
      <c r="E91" s="13"/>
      <c r="F91" s="13"/>
      <c r="G91" s="6">
        <v>0.99567899999999998</v>
      </c>
      <c r="H91" s="14">
        <v>2.151785714285714</v>
      </c>
      <c r="I91" s="14">
        <v>3.1613846150000002</v>
      </c>
      <c r="J91" s="3">
        <v>3.82</v>
      </c>
      <c r="K91" s="4">
        <v>467.1096</v>
      </c>
      <c r="L91" s="4">
        <v>47.177</v>
      </c>
      <c r="M91" s="5">
        <v>125593.05145398108</v>
      </c>
      <c r="N91" s="5">
        <v>12559.30514539811</v>
      </c>
      <c r="O91" s="5">
        <f t="shared" si="25"/>
        <v>268.87276873346445</v>
      </c>
      <c r="P91" s="5">
        <f t="shared" si="26"/>
        <v>38.214508800490741</v>
      </c>
      <c r="Q91" s="5">
        <f t="shared" si="39"/>
        <v>5.9000000000000003E-6</v>
      </c>
      <c r="R91" s="5">
        <f t="shared" si="34"/>
        <v>2.6000000000000001E-6</v>
      </c>
      <c r="S91" s="6">
        <v>0.99798345423449897</v>
      </c>
      <c r="T91" s="6">
        <f t="shared" si="42"/>
        <v>7.3452874840356733E-4</v>
      </c>
      <c r="U91" s="9">
        <v>3960000</v>
      </c>
      <c r="V91" s="5">
        <v>256000</v>
      </c>
      <c r="W91" s="5">
        <v>4.388525355765191E-2</v>
      </c>
      <c r="X91" s="11">
        <v>8.0000000000000002E-3</v>
      </c>
      <c r="Y91" s="3">
        <f t="shared" si="43"/>
        <v>351.08202846121526</v>
      </c>
      <c r="Z91" s="5">
        <f t="shared" si="27"/>
        <v>35.108202846121529</v>
      </c>
      <c r="AA91" s="9">
        <v>6040000000</v>
      </c>
      <c r="AB91" s="5">
        <v>501000000</v>
      </c>
      <c r="AC91" s="13">
        <f t="shared" si="35"/>
        <v>471.67563962075371</v>
      </c>
      <c r="AD91" s="13">
        <f t="shared" si="36"/>
        <v>49.603087508865144</v>
      </c>
      <c r="AE91" s="5">
        <f t="shared" si="28"/>
        <v>35636</v>
      </c>
      <c r="AF91" s="5">
        <f t="shared" si="29"/>
        <v>15979.767232660182</v>
      </c>
      <c r="AG91" s="5">
        <f t="shared" si="40"/>
        <v>3924364</v>
      </c>
      <c r="AH91" s="5">
        <f t="shared" si="41"/>
        <v>256498.25137963417</v>
      </c>
      <c r="AI91" s="9">
        <f t="shared" si="19"/>
        <v>3932293.6501088338</v>
      </c>
      <c r="AJ91" s="15">
        <f t="shared" si="37"/>
        <v>257032.83212414078</v>
      </c>
      <c r="AK91" s="15">
        <f t="shared" si="30"/>
        <v>514065.66424828157</v>
      </c>
      <c r="AL91" s="16">
        <f t="shared" si="31"/>
        <v>0.99300344699718024</v>
      </c>
    </row>
    <row r="92" spans="1:38" x14ac:dyDescent="0.35">
      <c r="A92" s="8" t="s">
        <v>96</v>
      </c>
      <c r="B92" s="6">
        <v>39.300265099999997</v>
      </c>
      <c r="C92" s="6">
        <v>175.53913539999999</v>
      </c>
      <c r="D92" s="12">
        <v>1873.3910000000001</v>
      </c>
      <c r="E92" s="13"/>
      <c r="F92" s="13"/>
      <c r="G92" s="6">
        <v>0.99567899999999998</v>
      </c>
      <c r="H92" s="14">
        <v>2.151785714285714</v>
      </c>
      <c r="I92" s="14">
        <v>3.1613846150000002</v>
      </c>
      <c r="J92" s="3">
        <v>3.82</v>
      </c>
      <c r="K92" s="4">
        <v>467.1096</v>
      </c>
      <c r="L92" s="4">
        <v>47.177</v>
      </c>
      <c r="M92" s="5">
        <v>125593.05145398108</v>
      </c>
      <c r="N92" s="5">
        <v>12559.30514539811</v>
      </c>
      <c r="O92" s="5">
        <f t="shared" si="25"/>
        <v>268.87276873346445</v>
      </c>
      <c r="P92" s="5">
        <f t="shared" si="26"/>
        <v>38.214508800490741</v>
      </c>
      <c r="Q92" s="5">
        <f t="shared" si="39"/>
        <v>5.9000000000000003E-6</v>
      </c>
      <c r="R92" s="5">
        <f t="shared" si="34"/>
        <v>2.6000000000000001E-6</v>
      </c>
      <c r="S92" s="6">
        <v>0.99798345423449897</v>
      </c>
      <c r="T92" s="6">
        <f t="shared" si="42"/>
        <v>7.3452874840356733E-4</v>
      </c>
      <c r="U92" s="9"/>
      <c r="V92" s="5"/>
      <c r="W92" s="5"/>
      <c r="X92" s="11"/>
      <c r="Z92" s="5"/>
      <c r="AA92" s="9"/>
      <c r="AB92" s="5"/>
      <c r="AC92" s="13"/>
      <c r="AD92" s="13"/>
      <c r="AE92" s="5"/>
      <c r="AF92" s="5"/>
      <c r="AG92" s="5"/>
      <c r="AH92" s="5"/>
      <c r="AI92" s="9">
        <f>(AI90*0.3024+AI91*0.3614)/(0.3024+0.3614)</f>
        <v>3848751.4541475656</v>
      </c>
      <c r="AJ92" s="5">
        <f>(AJ90*0.3024+AJ91*0.3614)/(0.3024+0.3614)</f>
        <v>250525.63400053981</v>
      </c>
      <c r="AK92" s="15">
        <f t="shared" si="30"/>
        <v>501051.26800107962</v>
      </c>
      <c r="AL92" s="16"/>
    </row>
    <row r="93" spans="1:38" x14ac:dyDescent="0.35">
      <c r="A93" s="8"/>
      <c r="B93" s="6"/>
      <c r="C93" s="6"/>
      <c r="D93" s="12"/>
      <c r="E93" s="13"/>
      <c r="F93" s="13"/>
      <c r="G93" s="6"/>
      <c r="H93" s="14"/>
      <c r="I93" s="14"/>
      <c r="J93" s="14"/>
      <c r="K93" s="4"/>
      <c r="L93" s="4"/>
      <c r="M93" s="5"/>
      <c r="N93" s="5"/>
      <c r="O93" s="5"/>
      <c r="P93" s="5"/>
      <c r="Q93" s="5"/>
      <c r="R93" s="5"/>
      <c r="S93" s="6"/>
      <c r="T93" s="17"/>
      <c r="U93" s="9"/>
      <c r="V93" s="5"/>
      <c r="W93" s="5"/>
      <c r="X93" s="11"/>
      <c r="Z93" s="5"/>
      <c r="AA93" s="9"/>
      <c r="AB93" s="5"/>
      <c r="AC93" s="13"/>
      <c r="AD93" s="13"/>
      <c r="AE93" s="5"/>
      <c r="AF93" s="5"/>
      <c r="AG93" s="5"/>
      <c r="AH93" s="5"/>
      <c r="AJ93" s="15"/>
      <c r="AK93" s="15"/>
      <c r="AL93" s="16"/>
    </row>
    <row r="94" spans="1:38" x14ac:dyDescent="0.35">
      <c r="A94" s="8" t="s">
        <v>74</v>
      </c>
      <c r="B94" s="6">
        <v>39.271798529999998</v>
      </c>
      <c r="C94" s="6">
        <v>175.6052329</v>
      </c>
      <c r="D94" s="12">
        <v>1827.0989999999999</v>
      </c>
      <c r="E94" s="13"/>
      <c r="F94" s="13"/>
      <c r="G94" s="6">
        <v>0.99653599999999998</v>
      </c>
      <c r="H94" s="14">
        <v>2.0147058823529411</v>
      </c>
      <c r="I94" s="14">
        <v>5.4151818179999998</v>
      </c>
      <c r="J94" s="3">
        <v>3.78</v>
      </c>
      <c r="K94" s="4">
        <f t="shared" si="32"/>
        <v>462.21839999999997</v>
      </c>
      <c r="L94" s="4">
        <f t="shared" si="33"/>
        <v>46.682999999999993</v>
      </c>
      <c r="M94" s="5">
        <v>117670.47843996398</v>
      </c>
      <c r="N94" s="5">
        <f>M94*0.1</f>
        <v>11767.047843996399</v>
      </c>
      <c r="O94" s="5">
        <f t="shared" si="25"/>
        <v>254.57765947864468</v>
      </c>
      <c r="P94" s="5">
        <f t="shared" si="26"/>
        <v>36.182765009568499</v>
      </c>
      <c r="Q94" s="5">
        <f t="shared" si="39"/>
        <v>5.9000000000000003E-6</v>
      </c>
      <c r="R94" s="5">
        <f t="shared" si="34"/>
        <v>2.6000000000000001E-6</v>
      </c>
      <c r="S94" s="6">
        <f t="shared" si="38"/>
        <v>0.99849799180907595</v>
      </c>
      <c r="T94" s="6">
        <f t="shared" si="42"/>
        <v>6.9547619295625871E-4</v>
      </c>
      <c r="U94" s="9">
        <v>5130000</v>
      </c>
      <c r="V94" s="5">
        <v>364000</v>
      </c>
      <c r="W94" s="5">
        <v>5.0601551350180497E-2</v>
      </c>
      <c r="X94" s="11">
        <v>0.01</v>
      </c>
      <c r="Y94" s="3">
        <f t="shared" si="43"/>
        <v>506.01551350180495</v>
      </c>
      <c r="Z94" s="5">
        <f t="shared" si="27"/>
        <v>50.6015513501805</v>
      </c>
      <c r="AA94" s="9">
        <v>12200000000</v>
      </c>
      <c r="AB94" s="5">
        <v>519000000</v>
      </c>
      <c r="AC94" s="13">
        <f t="shared" si="35"/>
        <v>302.51208868970394</v>
      </c>
      <c r="AD94" s="13">
        <f t="shared" si="36"/>
        <v>25.027040699024557</v>
      </c>
      <c r="AE94" s="5">
        <f t="shared" si="28"/>
        <v>71980</v>
      </c>
      <c r="AF94" s="5">
        <f t="shared" si="29"/>
        <v>31867.45763957332</v>
      </c>
      <c r="AG94" s="5">
        <f t="shared" si="40"/>
        <v>5058020</v>
      </c>
      <c r="AH94" s="5">
        <f t="shared" si="41"/>
        <v>365392.30267810787</v>
      </c>
      <c r="AI94" s="9">
        <f>((U94)-(AA94*Q94))/S94</f>
        <v>5065628.6156729199</v>
      </c>
      <c r="AJ94" s="15">
        <f t="shared" si="37"/>
        <v>365958.9597110966</v>
      </c>
      <c r="AK94" s="15">
        <f t="shared" si="30"/>
        <v>731917.9194221932</v>
      </c>
      <c r="AL94" s="16">
        <f t="shared" si="31"/>
        <v>0.98745197186606626</v>
      </c>
    </row>
    <row r="95" spans="1:38" x14ac:dyDescent="0.35">
      <c r="A95" s="8" t="s">
        <v>75</v>
      </c>
      <c r="B95" s="6">
        <v>39.271811929999998</v>
      </c>
      <c r="C95" s="6">
        <v>175.6052655</v>
      </c>
      <c r="D95" s="12">
        <v>1826.636</v>
      </c>
      <c r="E95" s="13"/>
      <c r="F95" s="13"/>
      <c r="G95" s="6">
        <v>0.99653599999999998</v>
      </c>
      <c r="H95" s="14">
        <v>2.0654761904761907</v>
      </c>
      <c r="I95" s="14">
        <v>6.4344999999999999</v>
      </c>
      <c r="J95" s="3">
        <v>3.77</v>
      </c>
      <c r="K95" s="4">
        <f t="shared" si="32"/>
        <v>460.99560000000002</v>
      </c>
      <c r="L95" s="4">
        <f t="shared" si="33"/>
        <v>46.5595</v>
      </c>
      <c r="M95" s="5">
        <v>117670.47843996398</v>
      </c>
      <c r="N95" s="5">
        <f>M95*0.1</f>
        <v>11767.047843996399</v>
      </c>
      <c r="O95" s="5">
        <f t="shared" si="25"/>
        <v>255.25293178495406</v>
      </c>
      <c r="P95" s="5">
        <f t="shared" si="26"/>
        <v>36.278740513572664</v>
      </c>
      <c r="Q95" s="5">
        <f t="shared" si="39"/>
        <v>5.9000000000000003E-6</v>
      </c>
      <c r="R95" s="5">
        <f t="shared" si="34"/>
        <v>2.6000000000000001E-6</v>
      </c>
      <c r="S95" s="6">
        <f t="shared" si="38"/>
        <v>0.99849400770246877</v>
      </c>
      <c r="T95" s="6">
        <f t="shared" si="42"/>
        <v>6.9732095739380841E-4</v>
      </c>
      <c r="U95" s="9">
        <v>5010000</v>
      </c>
      <c r="V95" s="5">
        <v>355000</v>
      </c>
      <c r="W95" s="5">
        <v>5.0601551350180497E-2</v>
      </c>
      <c r="X95" s="11">
        <v>0.01</v>
      </c>
      <c r="Y95" s="3">
        <f t="shared" si="43"/>
        <v>506.01551350180495</v>
      </c>
      <c r="Z95" s="5">
        <f t="shared" si="27"/>
        <v>50.6015513501805</v>
      </c>
      <c r="AA95" s="9">
        <v>17500000000</v>
      </c>
      <c r="AB95" s="5">
        <v>554000000</v>
      </c>
      <c r="AC95" s="13">
        <f t="shared" si="35"/>
        <v>205.96094552929085</v>
      </c>
      <c r="AD95" s="13">
        <f t="shared" si="36"/>
        <v>15.984309097601153</v>
      </c>
      <c r="AE95" s="5">
        <f t="shared" si="28"/>
        <v>103250</v>
      </c>
      <c r="AF95" s="5">
        <f t="shared" si="29"/>
        <v>45617.252722626778</v>
      </c>
      <c r="AG95" s="5">
        <f t="shared" si="40"/>
        <v>4906750</v>
      </c>
      <c r="AH95" s="5">
        <f t="shared" si="41"/>
        <v>357918.89269212936</v>
      </c>
      <c r="AI95" s="9">
        <f>((U95)-(AA95*Q95))/S95</f>
        <v>4914150.6730625397</v>
      </c>
      <c r="AJ95" s="15">
        <f t="shared" si="37"/>
        <v>358475.157065815</v>
      </c>
      <c r="AK95" s="15">
        <f t="shared" si="30"/>
        <v>716950.31413163</v>
      </c>
      <c r="AL95" s="16">
        <f t="shared" si="31"/>
        <v>0.98086839781687418</v>
      </c>
    </row>
    <row r="96" spans="1:38" x14ac:dyDescent="0.35">
      <c r="A96" s="8" t="s">
        <v>76</v>
      </c>
      <c r="B96" s="6">
        <v>39.271804029999998</v>
      </c>
      <c r="C96" s="6">
        <v>175.6052822</v>
      </c>
      <c r="D96" s="12">
        <v>1825.616</v>
      </c>
      <c r="E96" s="13"/>
      <c r="F96" s="13"/>
      <c r="G96" s="6">
        <v>0.99617800000000001</v>
      </c>
      <c r="H96" s="14">
        <v>2.0796460176991149</v>
      </c>
      <c r="I96" s="14">
        <v>6.0352499999999996</v>
      </c>
      <c r="J96" s="3">
        <v>3.7</v>
      </c>
      <c r="K96" s="4">
        <f t="shared" si="32"/>
        <v>452.43600000000004</v>
      </c>
      <c r="L96" s="4">
        <f t="shared" si="33"/>
        <v>45.695</v>
      </c>
      <c r="M96" s="5">
        <v>117670.47843996398</v>
      </c>
      <c r="N96" s="5">
        <f>M96*0.1</f>
        <v>11767.047843996399</v>
      </c>
      <c r="O96" s="5">
        <f t="shared" si="25"/>
        <v>260.08204130520994</v>
      </c>
      <c r="P96" s="5">
        <f t="shared" si="26"/>
        <v>36.965095063829445</v>
      </c>
      <c r="Q96" s="5">
        <f t="shared" si="39"/>
        <v>5.9000000000000003E-6</v>
      </c>
      <c r="R96" s="5">
        <f t="shared" si="34"/>
        <v>2.6000000000000001E-6</v>
      </c>
      <c r="S96" s="6">
        <f t="shared" si="38"/>
        <v>0.99846551595629929</v>
      </c>
      <c r="T96" s="6">
        <f t="shared" si="42"/>
        <v>7.1051351604720482E-4</v>
      </c>
      <c r="U96" s="9">
        <v>3990000</v>
      </c>
      <c r="V96" s="5">
        <v>288000</v>
      </c>
      <c r="W96" s="5">
        <v>5.0601551350180497E-2</v>
      </c>
      <c r="X96" s="11">
        <v>0.01</v>
      </c>
      <c r="Y96" s="3">
        <f t="shared" si="43"/>
        <v>506.01551350180495</v>
      </c>
      <c r="Z96" s="5">
        <f t="shared" si="27"/>
        <v>50.6015513501805</v>
      </c>
      <c r="AA96" s="9">
        <v>14600000000</v>
      </c>
      <c r="AB96" s="5">
        <v>526000000</v>
      </c>
      <c r="AC96" s="13">
        <f t="shared" si="35"/>
        <v>196.60983541933578</v>
      </c>
      <c r="AD96" s="13">
        <f t="shared" si="36"/>
        <v>15.860932154570678</v>
      </c>
      <c r="AE96" s="5">
        <f t="shared" si="28"/>
        <v>86140</v>
      </c>
      <c r="AF96" s="5">
        <f t="shared" si="29"/>
        <v>38086.647155663362</v>
      </c>
      <c r="AG96" s="5">
        <f t="shared" si="40"/>
        <v>3903860</v>
      </c>
      <c r="AH96" s="5">
        <f t="shared" si="41"/>
        <v>290507.47441599501</v>
      </c>
      <c r="AI96" s="9">
        <f>((U96)-(AA96*Q96))/S96</f>
        <v>3909859.6171956966</v>
      </c>
      <c r="AJ96" s="15">
        <f t="shared" si="37"/>
        <v>290967.24119771866</v>
      </c>
      <c r="AK96" s="15">
        <f t="shared" si="30"/>
        <v>581934.48239543731</v>
      </c>
      <c r="AL96" s="16">
        <f t="shared" si="31"/>
        <v>0.97991469102649031</v>
      </c>
    </row>
    <row r="97" spans="1:38" x14ac:dyDescent="0.35">
      <c r="A97" s="8" t="s">
        <v>77</v>
      </c>
      <c r="B97" s="6">
        <v>39.271795740000002</v>
      </c>
      <c r="C97" s="6">
        <v>175.60533219999999</v>
      </c>
      <c r="D97" s="12">
        <v>1824.6780000000001</v>
      </c>
      <c r="E97" s="13">
        <v>16</v>
      </c>
      <c r="F97" s="13">
        <v>330</v>
      </c>
      <c r="G97" s="6">
        <v>0.99617800000000001</v>
      </c>
      <c r="H97" s="14">
        <v>2.0532760301760824</v>
      </c>
      <c r="I97" s="14">
        <v>3.6836956519999999</v>
      </c>
      <c r="J97" s="3">
        <v>3.78</v>
      </c>
      <c r="K97" s="4">
        <f t="shared" si="32"/>
        <v>462.21839999999997</v>
      </c>
      <c r="L97" s="4">
        <f t="shared" si="33"/>
        <v>46.682999999999993</v>
      </c>
      <c r="M97" s="5">
        <v>117670.47843996398</v>
      </c>
      <c r="N97" s="5">
        <f>M97*0.1</f>
        <v>11767.047843996399</v>
      </c>
      <c r="O97" s="5">
        <f t="shared" si="25"/>
        <v>254.57765947864468</v>
      </c>
      <c r="P97" s="5">
        <f t="shared" si="26"/>
        <v>36.182765009568499</v>
      </c>
      <c r="Q97" s="5">
        <f t="shared" si="39"/>
        <v>5.9000000000000003E-6</v>
      </c>
      <c r="R97" s="5">
        <f t="shared" si="34"/>
        <v>2.6000000000000001E-6</v>
      </c>
      <c r="S97" s="6">
        <f t="shared" si="38"/>
        <v>0.99849799180907595</v>
      </c>
      <c r="T97" s="6">
        <f t="shared" si="42"/>
        <v>6.9547619295625871E-4</v>
      </c>
      <c r="U97" s="9">
        <v>5280000</v>
      </c>
      <c r="V97" s="5">
        <v>330000</v>
      </c>
      <c r="W97" s="5">
        <v>5.0601551350180497E-2</v>
      </c>
      <c r="X97" s="11">
        <v>0.01</v>
      </c>
      <c r="Y97" s="3">
        <f t="shared" si="43"/>
        <v>506.01551350180495</v>
      </c>
      <c r="Z97" s="5">
        <f t="shared" si="27"/>
        <v>50.6015513501805</v>
      </c>
      <c r="AA97" s="9">
        <v>8930000000</v>
      </c>
      <c r="AB97" s="5">
        <v>539000000</v>
      </c>
      <c r="AC97" s="13">
        <f t="shared" si="35"/>
        <v>425.37078959452822</v>
      </c>
      <c r="AD97" s="13">
        <f t="shared" si="36"/>
        <v>36.95926219598622</v>
      </c>
      <c r="AE97" s="5">
        <f t="shared" si="28"/>
        <v>52687</v>
      </c>
      <c r="AF97" s="5">
        <f t="shared" si="29"/>
        <v>23434.772454837275</v>
      </c>
      <c r="AG97" s="5">
        <f t="shared" si="40"/>
        <v>5227313</v>
      </c>
      <c r="AH97" s="5">
        <f t="shared" si="41"/>
        <v>330831.05742963433</v>
      </c>
      <c r="AI97" s="9">
        <f>((U97)-(AA97*Q97))/S97</f>
        <v>5235176.2776499614</v>
      </c>
      <c r="AJ97" s="15">
        <f t="shared" si="37"/>
        <v>331348.78047639236</v>
      </c>
      <c r="AK97" s="15">
        <f t="shared" si="30"/>
        <v>662697.56095278473</v>
      </c>
      <c r="AL97" s="16">
        <f t="shared" si="31"/>
        <v>0.99151065864582599</v>
      </c>
    </row>
    <row r="98" spans="1:38" x14ac:dyDescent="0.35">
      <c r="A98" s="8"/>
      <c r="B98" s="6"/>
      <c r="C98" s="6"/>
      <c r="D98" s="12"/>
      <c r="E98" s="13"/>
      <c r="F98" s="13"/>
      <c r="G98" s="6"/>
      <c r="K98" s="4"/>
      <c r="L98" s="4"/>
      <c r="M98" s="5"/>
      <c r="N98" s="5"/>
      <c r="O98" s="5"/>
      <c r="P98" s="5"/>
      <c r="Q98" s="5"/>
      <c r="R98" s="5"/>
      <c r="S98" s="6"/>
      <c r="T98" s="17"/>
      <c r="U98" s="9"/>
      <c r="V98" s="5"/>
      <c r="W98" s="5"/>
      <c r="X98" s="11"/>
      <c r="Z98" s="5"/>
      <c r="AA98" s="9"/>
      <c r="AB98" s="5"/>
      <c r="AC98" s="13"/>
      <c r="AD98" s="13"/>
      <c r="AE98" s="5"/>
      <c r="AF98" s="5"/>
      <c r="AG98" s="5"/>
      <c r="AH98" s="5"/>
      <c r="AJ98" s="15"/>
      <c r="AK98" s="15"/>
      <c r="AL98" s="16"/>
    </row>
    <row r="99" spans="1:38" x14ac:dyDescent="0.35">
      <c r="A99" s="8" t="s">
        <v>78</v>
      </c>
      <c r="B99" s="6">
        <v>39.255742239999996</v>
      </c>
      <c r="C99" s="6">
        <v>175.55506399999999</v>
      </c>
      <c r="D99" s="12">
        <v>2079.0880000000002</v>
      </c>
      <c r="E99" s="13">
        <v>21</v>
      </c>
      <c r="F99" s="13">
        <v>357</v>
      </c>
      <c r="G99" s="6">
        <v>0.99109400000000003</v>
      </c>
      <c r="H99" s="14">
        <v>2.2479338842975207</v>
      </c>
      <c r="I99" s="14">
        <v>4.032</v>
      </c>
      <c r="J99" s="3">
        <v>4.3899999999999997</v>
      </c>
      <c r="K99" s="4">
        <f t="shared" si="32"/>
        <v>536.80919999999992</v>
      </c>
      <c r="L99" s="4">
        <f t="shared" si="33"/>
        <v>54.216499999999996</v>
      </c>
      <c r="M99" s="5">
        <v>245453.6104316891</v>
      </c>
      <c r="N99" s="5">
        <f>M99*0.1</f>
        <v>24545.361043168912</v>
      </c>
      <c r="O99" s="5">
        <f t="shared" si="25"/>
        <v>457.24553608933888</v>
      </c>
      <c r="P99" s="5">
        <f t="shared" si="26"/>
        <v>64.987665523661377</v>
      </c>
      <c r="Q99" s="5">
        <f t="shared" si="39"/>
        <v>5.9000000000000003E-6</v>
      </c>
      <c r="R99" s="5">
        <f t="shared" si="34"/>
        <v>2.6000000000000001E-6</v>
      </c>
      <c r="S99" s="6">
        <f>1-M99/K99*Q99</f>
        <v>0.99730225133707295</v>
      </c>
      <c r="T99" s="6">
        <f t="shared" si="42"/>
        <v>1.2491409707234458E-3</v>
      </c>
      <c r="U99" s="9">
        <v>4440000</v>
      </c>
      <c r="V99" s="5">
        <v>216000</v>
      </c>
      <c r="W99" s="5">
        <v>3.2944236164088023E-2</v>
      </c>
      <c r="X99" s="11">
        <v>8.0000000000000002E-3</v>
      </c>
      <c r="Y99" s="3">
        <f t="shared" si="43"/>
        <v>263.5538893127042</v>
      </c>
      <c r="Z99" s="5">
        <f t="shared" si="27"/>
        <v>26.355388931270422</v>
      </c>
      <c r="AA99" s="9">
        <v>9090000000</v>
      </c>
      <c r="AB99" s="5">
        <v>498000000</v>
      </c>
      <c r="AC99" s="13">
        <f t="shared" si="35"/>
        <v>351.40204667948814</v>
      </c>
      <c r="AD99" s="13">
        <f t="shared" si="36"/>
        <v>25.746380914964895</v>
      </c>
      <c r="AE99" s="5">
        <f t="shared" si="28"/>
        <v>53631</v>
      </c>
      <c r="AF99" s="5">
        <f t="shared" si="29"/>
        <v>23815.939520413634</v>
      </c>
      <c r="AG99" s="5">
        <f t="shared" si="40"/>
        <v>4386369</v>
      </c>
      <c r="AH99" s="5">
        <f t="shared" si="41"/>
        <v>217308.99423456914</v>
      </c>
      <c r="AI99" s="9">
        <f>((U99)-(AA99*Q99))/S99</f>
        <v>4398234.3307851152</v>
      </c>
      <c r="AJ99" s="15">
        <f t="shared" si="37"/>
        <v>217966.45179415715</v>
      </c>
      <c r="AK99" s="15">
        <f t="shared" si="30"/>
        <v>435932.90358831431</v>
      </c>
      <c r="AL99" s="16">
        <f t="shared" si="31"/>
        <v>0.9905933177443953</v>
      </c>
    </row>
    <row r="100" spans="1:38" x14ac:dyDescent="0.35">
      <c r="A100" s="8" t="s">
        <v>79</v>
      </c>
      <c r="B100" s="6">
        <v>39.255554490000002</v>
      </c>
      <c r="C100" s="6">
        <v>175.55486450000001</v>
      </c>
      <c r="D100" s="12">
        <v>2066.701</v>
      </c>
      <c r="E100" s="12"/>
      <c r="F100" s="13"/>
      <c r="G100" s="6">
        <v>0.99499400000000005</v>
      </c>
      <c r="H100" s="14">
        <v>2.297752808988764</v>
      </c>
      <c r="I100" s="14">
        <v>3.1468540690000002</v>
      </c>
      <c r="J100" s="3">
        <v>4.26</v>
      </c>
      <c r="K100" s="4">
        <f t="shared" si="32"/>
        <v>520.91279999999995</v>
      </c>
      <c r="L100" s="4">
        <f t="shared" si="33"/>
        <v>52.610999999999997</v>
      </c>
      <c r="M100" s="5">
        <v>245453.6104316891</v>
      </c>
      <c r="N100" s="5">
        <f>M100*0.1</f>
        <v>24545.361043168912</v>
      </c>
      <c r="O100" s="5">
        <f t="shared" si="25"/>
        <v>471.19903836436566</v>
      </c>
      <c r="P100" s="5">
        <f t="shared" si="26"/>
        <v>66.970857194571238</v>
      </c>
      <c r="Q100" s="5">
        <f t="shared" si="39"/>
        <v>5.9000000000000003E-6</v>
      </c>
      <c r="R100" s="5">
        <f t="shared" si="34"/>
        <v>2.6000000000000001E-6</v>
      </c>
      <c r="S100" s="6">
        <f t="shared" si="38"/>
        <v>0.99721992567365025</v>
      </c>
      <c r="T100" s="6">
        <f t="shared" si="42"/>
        <v>1.2872602961211095E-3</v>
      </c>
      <c r="U100" s="9">
        <v>3670000</v>
      </c>
      <c r="V100" s="5">
        <v>191000</v>
      </c>
      <c r="W100" s="5">
        <v>3.2944236164088023E-2</v>
      </c>
      <c r="X100" s="11">
        <v>8.0000000000000002E-3</v>
      </c>
      <c r="Y100" s="3">
        <f t="shared" si="43"/>
        <v>263.5538893127042</v>
      </c>
      <c r="Z100" s="5">
        <f t="shared" si="27"/>
        <v>26.355388931270422</v>
      </c>
      <c r="AA100" s="9">
        <v>11500000000</v>
      </c>
      <c r="AB100" s="5">
        <v>680000000</v>
      </c>
      <c r="AC100" s="13">
        <f t="shared" si="35"/>
        <v>229.59024085079764</v>
      </c>
      <c r="AD100" s="13">
        <f t="shared" si="36"/>
        <v>18.085160466698643</v>
      </c>
      <c r="AE100" s="5">
        <f t="shared" si="28"/>
        <v>67850</v>
      </c>
      <c r="AF100" s="5">
        <f t="shared" si="29"/>
        <v>30167.965526365875</v>
      </c>
      <c r="AG100" s="5">
        <f t="shared" si="40"/>
        <v>3602150</v>
      </c>
      <c r="AH100" s="5">
        <f t="shared" si="41"/>
        <v>193367.8001736587</v>
      </c>
      <c r="AI100" s="9">
        <f>((U100)-(AA100*Q100))/S100</f>
        <v>3612192.1626933455</v>
      </c>
      <c r="AJ100" s="15">
        <f t="shared" si="37"/>
        <v>193962.92969580626</v>
      </c>
      <c r="AK100" s="15">
        <f t="shared" si="30"/>
        <v>387925.85939161252</v>
      </c>
      <c r="AL100" s="16">
        <f t="shared" si="31"/>
        <v>0.98424854569300968</v>
      </c>
    </row>
    <row r="101" spans="1:38" x14ac:dyDescent="0.35">
      <c r="A101" s="8"/>
      <c r="B101" s="6"/>
      <c r="C101" s="6"/>
      <c r="D101" s="12"/>
      <c r="E101" s="12"/>
      <c r="F101" s="13"/>
      <c r="G101" s="6"/>
      <c r="K101" s="4"/>
      <c r="L101" s="4"/>
      <c r="M101" s="5"/>
      <c r="N101" s="5"/>
      <c r="O101" s="5"/>
      <c r="P101" s="5"/>
      <c r="Q101" s="5"/>
      <c r="R101" s="5"/>
      <c r="S101" s="6"/>
      <c r="T101" s="17"/>
      <c r="U101" s="9"/>
      <c r="V101" s="5"/>
      <c r="W101" s="5"/>
      <c r="X101" s="11"/>
      <c r="Z101" s="5"/>
      <c r="AA101" s="9"/>
      <c r="AB101" s="23"/>
      <c r="AC101" s="13"/>
      <c r="AD101" s="13"/>
      <c r="AE101" s="5"/>
      <c r="AF101" s="5"/>
      <c r="AG101" s="5"/>
      <c r="AH101" s="5"/>
      <c r="AJ101" s="15"/>
      <c r="AK101" s="15"/>
      <c r="AL101" s="16"/>
    </row>
    <row r="102" spans="1:38" x14ac:dyDescent="0.35">
      <c r="A102" s="8" t="s">
        <v>80</v>
      </c>
      <c r="B102" s="6">
        <v>39.234635849999997</v>
      </c>
      <c r="C102" s="6">
        <v>175.5514881</v>
      </c>
      <c r="D102" s="12">
        <v>1600.4459999999999</v>
      </c>
      <c r="E102" s="12"/>
      <c r="F102" s="13"/>
      <c r="G102" s="6">
        <v>0.99855099999999997</v>
      </c>
      <c r="H102" s="14">
        <v>2.2248062015503876</v>
      </c>
      <c r="I102" s="14">
        <v>3.5173333329999998</v>
      </c>
      <c r="J102" s="3">
        <v>3.1</v>
      </c>
      <c r="K102" s="4">
        <f t="shared" si="32"/>
        <v>379.06800000000004</v>
      </c>
      <c r="L102" s="4">
        <f t="shared" si="33"/>
        <v>38.284999999999997</v>
      </c>
      <c r="M102" s="5">
        <v>66521.352342468497</v>
      </c>
      <c r="N102" s="5">
        <f>M102*0.1</f>
        <v>6652.1352342468499</v>
      </c>
      <c r="O102" s="5">
        <f>M102/K102</f>
        <v>175.48659433787208</v>
      </c>
      <c r="P102" s="5">
        <f>O102*SQRT((N102/M102)^2+(L102/K102)^2)</f>
        <v>24.941663059752251</v>
      </c>
      <c r="Q102" s="5">
        <f t="shared" si="39"/>
        <v>5.9000000000000003E-6</v>
      </c>
      <c r="R102" s="5">
        <f t="shared" si="34"/>
        <v>2.6000000000000001E-6</v>
      </c>
      <c r="S102" s="6">
        <f t="shared" si="38"/>
        <v>0.99896462909340655</v>
      </c>
      <c r="T102" s="6">
        <f t="shared" si="42"/>
        <v>4.7940871479023299E-4</v>
      </c>
      <c r="U102" s="9">
        <v>2820000</v>
      </c>
      <c r="V102" s="5">
        <v>207000</v>
      </c>
      <c r="W102" s="5">
        <v>4.0116513315622888E-2</v>
      </c>
      <c r="X102" s="11">
        <v>8.0000000000000002E-3</v>
      </c>
      <c r="Y102" s="3">
        <f>W102*X102*1000000</f>
        <v>320.93210652498311</v>
      </c>
      <c r="Z102" s="5">
        <f t="shared" si="27"/>
        <v>32.093210652498314</v>
      </c>
      <c r="AA102" s="9">
        <v>7180000000</v>
      </c>
      <c r="AB102" s="5">
        <v>489000000</v>
      </c>
      <c r="AC102" s="13">
        <f t="shared" si="35"/>
        <v>282.55946774613733</v>
      </c>
      <c r="AD102" s="13">
        <f t="shared" si="36"/>
        <v>28.293490157383417</v>
      </c>
      <c r="AE102" s="5">
        <f t="shared" si="28"/>
        <v>42362</v>
      </c>
      <c r="AF102" s="5">
        <f t="shared" si="29"/>
        <v>18889.627471445801</v>
      </c>
      <c r="AG102" s="5">
        <f t="shared" si="40"/>
        <v>2777638</v>
      </c>
      <c r="AH102" s="5">
        <f t="shared" si="41"/>
        <v>207860.09243240993</v>
      </c>
      <c r="AI102" s="9">
        <f>((U102)-(AA102*Q102))/S102</f>
        <v>2780516.8662686269</v>
      </c>
      <c r="AJ102" s="15">
        <f t="shared" si="37"/>
        <v>208079.8064348429</v>
      </c>
      <c r="AK102" s="15">
        <f t="shared" si="30"/>
        <v>416159.61286968581</v>
      </c>
      <c r="AL102" s="16">
        <f t="shared" si="31"/>
        <v>0.98599888874774</v>
      </c>
    </row>
    <row r="103" spans="1:38" x14ac:dyDescent="0.35">
      <c r="A103" s="8" t="s">
        <v>81</v>
      </c>
      <c r="B103" s="6">
        <v>39.234225160000001</v>
      </c>
      <c r="C103" s="6">
        <v>175.55088689999999</v>
      </c>
      <c r="D103" s="12">
        <v>1591.8030000000001</v>
      </c>
      <c r="E103" s="12"/>
      <c r="F103" s="13"/>
      <c r="G103" s="6">
        <v>0.99855099999999997</v>
      </c>
      <c r="H103" s="14">
        <v>2.3652694610778444</v>
      </c>
      <c r="I103" s="14">
        <v>4.3392402279999995</v>
      </c>
      <c r="J103" s="3">
        <v>3.11</v>
      </c>
      <c r="K103" s="4">
        <f t="shared" si="32"/>
        <v>380.29079999999999</v>
      </c>
      <c r="L103" s="4">
        <f t="shared" si="33"/>
        <v>38.408499999999997</v>
      </c>
      <c r="M103" s="5">
        <v>66521.352342468497</v>
      </c>
      <c r="N103" s="5">
        <f>M103*0.1</f>
        <v>6652.1352342468499</v>
      </c>
      <c r="O103" s="5">
        <f>M103/K103</f>
        <v>174.92232876122299</v>
      </c>
      <c r="P103" s="5">
        <f>O103*SQRT((N103/M103)^2+(L103/K103)^2)</f>
        <v>24.861464786248231</v>
      </c>
      <c r="Q103" s="5">
        <f t="shared" si="39"/>
        <v>5.9000000000000003E-6</v>
      </c>
      <c r="R103" s="5">
        <f t="shared" si="34"/>
        <v>2.6000000000000001E-6</v>
      </c>
      <c r="S103" s="6">
        <f t="shared" si="38"/>
        <v>0.99896795826030882</v>
      </c>
      <c r="T103" s="6">
        <f t="shared" si="42"/>
        <v>4.7786720766872102E-4</v>
      </c>
      <c r="U103" s="9">
        <v>3080000</v>
      </c>
      <c r="V103" s="5">
        <v>225000</v>
      </c>
      <c r="W103" s="5">
        <v>4.0116513315622888E-2</v>
      </c>
      <c r="X103" s="11">
        <v>8.0000000000000002E-3</v>
      </c>
      <c r="Y103" s="3">
        <f>W103*X103*1000000</f>
        <v>320.93210652498311</v>
      </c>
      <c r="Z103" s="5">
        <f t="shared" si="27"/>
        <v>32.093210652498314</v>
      </c>
      <c r="AA103" s="9">
        <v>9750000000</v>
      </c>
      <c r="AB103" s="5">
        <v>488000000</v>
      </c>
      <c r="AC103" s="13">
        <f t="shared" si="35"/>
        <v>227.26434237225604</v>
      </c>
      <c r="AD103" s="13">
        <f t="shared" si="36"/>
        <v>20.125047279369674</v>
      </c>
      <c r="AE103" s="5">
        <f t="shared" si="28"/>
        <v>57525</v>
      </c>
      <c r="AF103" s="5">
        <f t="shared" si="29"/>
        <v>25512.982825220573</v>
      </c>
      <c r="AG103" s="5">
        <f t="shared" si="40"/>
        <v>3022475</v>
      </c>
      <c r="AH103" s="5">
        <f t="shared" si="41"/>
        <v>226441.85190163058</v>
      </c>
      <c r="AI103" s="9">
        <f>((U103)-(AA103*Q103))/S103</f>
        <v>3025597.5429518335</v>
      </c>
      <c r="AJ103" s="15">
        <f t="shared" si="37"/>
        <v>226680.41133359764</v>
      </c>
      <c r="AK103" s="15">
        <f t="shared" si="30"/>
        <v>453360.82266719529</v>
      </c>
      <c r="AL103" s="16">
        <f t="shared" si="31"/>
        <v>0.98233686459475111</v>
      </c>
    </row>
    <row r="104" spans="1:38" x14ac:dyDescent="0.35">
      <c r="A104" s="8" t="s">
        <v>82</v>
      </c>
      <c r="B104" s="6">
        <v>39.234106910000001</v>
      </c>
      <c r="C104" s="6">
        <v>175.5507404</v>
      </c>
      <c r="D104" s="12">
        <v>1590.2719999999999</v>
      </c>
      <c r="E104" s="12"/>
      <c r="F104" s="4"/>
      <c r="G104" s="6">
        <v>0.99855099999999997</v>
      </c>
      <c r="H104" s="14">
        <v>2.2147239263803682</v>
      </c>
      <c r="I104" s="14">
        <v>3.3859679819999995</v>
      </c>
      <c r="J104" s="3">
        <v>3.09</v>
      </c>
      <c r="K104" s="4">
        <f t="shared" si="32"/>
        <v>377.84519999999998</v>
      </c>
      <c r="L104" s="4">
        <f t="shared" si="33"/>
        <v>38.161499999999997</v>
      </c>
      <c r="M104" s="5">
        <v>66521.352342468497</v>
      </c>
      <c r="N104" s="5">
        <f>M104*0.1</f>
        <v>6652.1352342468499</v>
      </c>
      <c r="O104" s="5">
        <f>M104/K104</f>
        <v>176.05451211890082</v>
      </c>
      <c r="P104" s="5">
        <f>O104*SQRT((N104/M104)^2+(L104/K104)^2)</f>
        <v>25.022380415932687</v>
      </c>
      <c r="Q104" s="5">
        <f t="shared" si="39"/>
        <v>5.9000000000000003E-6</v>
      </c>
      <c r="R104" s="5">
        <f t="shared" si="34"/>
        <v>2.6000000000000001E-6</v>
      </c>
      <c r="S104" s="6">
        <f t="shared" si="38"/>
        <v>0.99896127837849846</v>
      </c>
      <c r="T104" s="6">
        <f t="shared" si="42"/>
        <v>4.8096019930411727E-4</v>
      </c>
      <c r="U104" s="9">
        <v>2890000</v>
      </c>
      <c r="V104" s="5">
        <v>215000</v>
      </c>
      <c r="W104" s="5">
        <v>4.0116513315622888E-2</v>
      </c>
      <c r="X104" s="11">
        <v>8.0000000000000002E-3</v>
      </c>
      <c r="Y104" s="3">
        <f>W104*X104*1000000</f>
        <v>320.93210652498311</v>
      </c>
      <c r="Z104" s="5">
        <f t="shared" si="27"/>
        <v>32.093210652498314</v>
      </c>
      <c r="AA104" s="9">
        <v>7990000000</v>
      </c>
      <c r="AB104" s="5">
        <v>526000000</v>
      </c>
      <c r="AC104" s="13">
        <f t="shared" ref="AC104" si="44">U104/AA104/0.00000139</f>
        <v>260.21735802847081</v>
      </c>
      <c r="AD104" s="13">
        <f t="shared" ref="AD104" si="45">AC104*SQRT((V104/U104)^2+(AB104/AA104)^2)</f>
        <v>25.849980662245155</v>
      </c>
      <c r="AE104" s="5">
        <f t="shared" si="28"/>
        <v>47141</v>
      </c>
      <c r="AF104" s="5">
        <f t="shared" si="29"/>
        <v>21004.527311034639</v>
      </c>
      <c r="AG104" s="5">
        <f t="shared" si="40"/>
        <v>2842859</v>
      </c>
      <c r="AH104" s="5">
        <f t="shared" si="41"/>
        <v>216023.58706298718</v>
      </c>
      <c r="AI104" s="9">
        <f>((U104)-(AA104*Q104))/S104</f>
        <v>2845815.0095812455</v>
      </c>
      <c r="AJ104" s="15">
        <f t="shared" si="37"/>
        <v>216252.54932965199</v>
      </c>
      <c r="AK104" s="15">
        <f t="shared" si="30"/>
        <v>432505.09865930397</v>
      </c>
      <c r="AL104" s="16">
        <f t="shared" si="31"/>
        <v>0.98471107597966967</v>
      </c>
    </row>
    <row r="105" spans="1:38" x14ac:dyDescent="0.35">
      <c r="B105" s="11"/>
      <c r="C105" s="11"/>
      <c r="D105" s="11"/>
      <c r="E105" s="11"/>
      <c r="G105" s="12"/>
      <c r="H105" s="14"/>
      <c r="I105" s="12"/>
      <c r="J105" s="12"/>
      <c r="K105" s="4"/>
      <c r="M105" s="5"/>
      <c r="S105" s="6"/>
      <c r="X105" s="11"/>
      <c r="AA105" s="24"/>
    </row>
    <row r="106" spans="1:38" x14ac:dyDescent="0.35">
      <c r="H106" s="14"/>
      <c r="K106" s="4"/>
      <c r="M106" s="5"/>
      <c r="S106" s="6"/>
      <c r="AA106" s="24"/>
    </row>
    <row r="107" spans="1:38" x14ac:dyDescent="0.35">
      <c r="H107" s="14"/>
      <c r="AA107" s="24"/>
    </row>
    <row r="108" spans="1:38" x14ac:dyDescent="0.35">
      <c r="H108" s="14"/>
      <c r="AA108" s="24"/>
    </row>
    <row r="109" spans="1:38" x14ac:dyDescent="0.35">
      <c r="H109" s="14"/>
      <c r="AA109" s="24"/>
    </row>
    <row r="110" spans="1:38" x14ac:dyDescent="0.35">
      <c r="H110" s="14"/>
      <c r="AA110" s="24"/>
    </row>
    <row r="111" spans="1:38" x14ac:dyDescent="0.35">
      <c r="H111" s="14"/>
      <c r="AA111" s="24"/>
    </row>
    <row r="112" spans="1:38" x14ac:dyDescent="0.35">
      <c r="H112" s="14"/>
      <c r="AA112" s="24"/>
    </row>
    <row r="113" spans="8:27" x14ac:dyDescent="0.35">
      <c r="H113" s="14"/>
      <c r="AA113" s="24"/>
    </row>
    <row r="114" spans="8:27" x14ac:dyDescent="0.35">
      <c r="H114" s="14"/>
      <c r="AA114" s="24"/>
    </row>
    <row r="115" spans="8:27" x14ac:dyDescent="0.35">
      <c r="H115" s="14"/>
    </row>
    <row r="116" spans="8:27" x14ac:dyDescent="0.35">
      <c r="H116" s="14"/>
    </row>
    <row r="117" spans="8:27" x14ac:dyDescent="0.35">
      <c r="H117" s="14"/>
    </row>
    <row r="118" spans="8:27" x14ac:dyDescent="0.35">
      <c r="H118" s="14"/>
    </row>
    <row r="119" spans="8:27" x14ac:dyDescent="0.35">
      <c r="H119" s="14"/>
    </row>
    <row r="120" spans="8:27" x14ac:dyDescent="0.35">
      <c r="H120" s="14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C6296-E4E6-4253-9E8C-33BDFCD8685D}">
  <dimension ref="A1:F14"/>
  <sheetViews>
    <sheetView workbookViewId="0">
      <selection activeCell="F12" sqref="F12"/>
    </sheetView>
  </sheetViews>
  <sheetFormatPr defaultRowHeight="14.5" x14ac:dyDescent="0.35"/>
  <cols>
    <col min="1" max="1" width="15.1796875" bestFit="1" customWidth="1"/>
    <col min="2" max="2" width="32.81640625" bestFit="1" customWidth="1"/>
    <col min="5" max="5" width="11.7265625" bestFit="1" customWidth="1"/>
    <col min="6" max="6" width="71" bestFit="1" customWidth="1"/>
  </cols>
  <sheetData>
    <row r="1" spans="1:6" x14ac:dyDescent="0.35">
      <c r="A1" s="25" t="s">
        <v>117</v>
      </c>
      <c r="B1" s="25" t="s">
        <v>118</v>
      </c>
      <c r="C1" s="25" t="s">
        <v>119</v>
      </c>
      <c r="D1" s="25"/>
      <c r="E1" s="25" t="s">
        <v>120</v>
      </c>
      <c r="F1" s="25" t="s">
        <v>121</v>
      </c>
    </row>
    <row r="2" spans="1:6" x14ac:dyDescent="0.35">
      <c r="A2" s="25" t="s">
        <v>122</v>
      </c>
      <c r="B2" s="25" t="s">
        <v>123</v>
      </c>
      <c r="C2" s="25" t="s">
        <v>127</v>
      </c>
      <c r="D2" s="25"/>
      <c r="E2" s="25" t="s">
        <v>128</v>
      </c>
      <c r="F2" s="25" t="s">
        <v>124</v>
      </c>
    </row>
    <row r="3" spans="1:6" x14ac:dyDescent="0.35">
      <c r="A3" s="25" t="s">
        <v>125</v>
      </c>
      <c r="B3" s="25" t="s">
        <v>126</v>
      </c>
      <c r="C3" s="25" t="s">
        <v>130</v>
      </c>
      <c r="D3" s="25"/>
      <c r="E3" s="25" t="s">
        <v>131</v>
      </c>
      <c r="F3" s="25" t="s">
        <v>129</v>
      </c>
    </row>
    <row r="4" spans="1:6" x14ac:dyDescent="0.35">
      <c r="A4" s="25" t="s">
        <v>100</v>
      </c>
      <c r="B4" s="25" t="s">
        <v>100</v>
      </c>
      <c r="C4" s="25" t="s">
        <v>134</v>
      </c>
      <c r="D4" s="25"/>
      <c r="E4" s="25" t="s">
        <v>135</v>
      </c>
      <c r="F4" s="25" t="s">
        <v>132</v>
      </c>
    </row>
    <row r="5" spans="1:6" x14ac:dyDescent="0.35">
      <c r="A5" s="25" t="s">
        <v>90</v>
      </c>
      <c r="B5" s="25" t="s">
        <v>133</v>
      </c>
      <c r="C5" s="25" t="s">
        <v>138</v>
      </c>
      <c r="D5" s="25"/>
      <c r="E5" s="25" t="s">
        <v>139</v>
      </c>
      <c r="F5" s="25" t="s">
        <v>136</v>
      </c>
    </row>
    <row r="6" spans="1:6" x14ac:dyDescent="0.35">
      <c r="A6" s="25" t="s">
        <v>8</v>
      </c>
      <c r="B6" s="25" t="s">
        <v>137</v>
      </c>
      <c r="C6" s="25" t="s">
        <v>142</v>
      </c>
      <c r="D6" s="25"/>
      <c r="E6" s="25" t="s">
        <v>143</v>
      </c>
      <c r="F6" s="25" t="s">
        <v>140</v>
      </c>
    </row>
    <row r="7" spans="1:6" x14ac:dyDescent="0.35">
      <c r="A7" s="25"/>
      <c r="B7" s="25"/>
      <c r="C7" s="25"/>
      <c r="D7" s="25"/>
      <c r="E7" s="25"/>
      <c r="F7" s="25"/>
    </row>
    <row r="8" spans="1:6" x14ac:dyDescent="0.35">
      <c r="A8" s="25" t="s">
        <v>4</v>
      </c>
      <c r="B8" s="25" t="s">
        <v>141</v>
      </c>
      <c r="C8" s="25" t="s">
        <v>157</v>
      </c>
      <c r="E8" s="25" t="s">
        <v>158</v>
      </c>
      <c r="F8" s="25" t="s">
        <v>141</v>
      </c>
    </row>
    <row r="9" spans="1:6" x14ac:dyDescent="0.35">
      <c r="A9" s="25" t="s">
        <v>6</v>
      </c>
      <c r="B9" s="25" t="s">
        <v>126</v>
      </c>
      <c r="C9" s="25" t="s">
        <v>144</v>
      </c>
      <c r="D9" s="25"/>
      <c r="E9" s="25" t="s">
        <v>145</v>
      </c>
      <c r="F9" s="25" t="s">
        <v>129</v>
      </c>
    </row>
    <row r="10" spans="1:6" x14ac:dyDescent="0.35">
      <c r="A10" s="25" t="s">
        <v>5</v>
      </c>
      <c r="B10" s="25" t="s">
        <v>141</v>
      </c>
      <c r="C10" s="25" t="s">
        <v>147</v>
      </c>
      <c r="D10" s="25"/>
      <c r="E10" s="25" t="s">
        <v>148</v>
      </c>
      <c r="F10" s="25" t="s">
        <v>141</v>
      </c>
    </row>
    <row r="11" spans="1:6" x14ac:dyDescent="0.35">
      <c r="A11" s="25" t="s">
        <v>163</v>
      </c>
      <c r="B11" s="25" t="s">
        <v>141</v>
      </c>
      <c r="C11" s="25" t="s">
        <v>150</v>
      </c>
      <c r="D11" s="25"/>
      <c r="E11" s="25" t="s">
        <v>151</v>
      </c>
      <c r="F11" s="25" t="s">
        <v>168</v>
      </c>
    </row>
    <row r="12" spans="1:6" x14ac:dyDescent="0.35">
      <c r="A12" s="25" t="s">
        <v>114</v>
      </c>
      <c r="B12" s="25" t="s">
        <v>146</v>
      </c>
      <c r="C12" s="25" t="s">
        <v>154</v>
      </c>
      <c r="D12" s="25"/>
      <c r="E12" s="25" t="s">
        <v>155</v>
      </c>
      <c r="F12" s="25" t="s">
        <v>149</v>
      </c>
    </row>
    <row r="13" spans="1:6" x14ac:dyDescent="0.35">
      <c r="A13" s="25" t="s">
        <v>101</v>
      </c>
      <c r="B13" s="25" t="s">
        <v>159</v>
      </c>
      <c r="C13" s="25" t="s">
        <v>160</v>
      </c>
      <c r="E13" s="25" t="s">
        <v>161</v>
      </c>
      <c r="F13" s="25" t="s">
        <v>162</v>
      </c>
    </row>
    <row r="14" spans="1:6" x14ac:dyDescent="0.35">
      <c r="A14" s="25" t="s">
        <v>152</v>
      </c>
      <c r="B14" s="25" t="s">
        <v>153</v>
      </c>
      <c r="C14" s="25" t="s">
        <v>164</v>
      </c>
      <c r="E14" s="25" t="s">
        <v>165</v>
      </c>
      <c r="F14" s="25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Data&amp;Calculations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doll</dc:creator>
  <cp:lastModifiedBy>Pedro Doll</cp:lastModifiedBy>
  <dcterms:created xsi:type="dcterms:W3CDTF">2023-06-22T21:47:55Z</dcterms:created>
  <dcterms:modified xsi:type="dcterms:W3CDTF">2024-03-16T06:55:35Z</dcterms:modified>
</cp:coreProperties>
</file>