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fileSharing readOnlyRecommended="1"/>
  <workbookPr defaultThemeVersion="166925"/>
  <mc:AlternateContent xmlns:mc="http://schemas.openxmlformats.org/markup-compatibility/2006">
    <mc:Choice Requires="x15">
      <x15ac:absPath xmlns:x15ac="http://schemas.microsoft.com/office/spreadsheetml/2010/11/ac" url="C:\Doll-PhD\Manuscripts\Cosmogenic\Submission\Doll et al\Supplementary material\"/>
    </mc:Choice>
  </mc:AlternateContent>
  <xr:revisionPtr revIDLastSave="0" documentId="8_{83E60D0A-35DD-4EFF-99B2-7EE8725BACCD}" xr6:coauthVersionLast="47" xr6:coauthVersionMax="47" xr10:uidLastSave="{00000000-0000-0000-0000-000000000000}"/>
  <bookViews>
    <workbookView xWindow="-110" yWindow="-110" windowWidth="19420" windowHeight="10420" xr2:uid="{9F9C3C8A-51E1-CA4F-BAAB-77F9D0E9D376}"/>
  </bookViews>
  <sheets>
    <sheet name="Magmatic correction dat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 i="1" l="1"/>
  <c r="N21" i="1"/>
  <c r="N20" i="1"/>
  <c r="I21" i="1"/>
  <c r="I20" i="1"/>
  <c r="J3" i="1"/>
  <c r="J18" i="1"/>
  <c r="J7" i="1" l="1"/>
  <c r="J5" i="1"/>
  <c r="L8" i="1"/>
  <c r="K16" i="1"/>
  <c r="L16" i="1"/>
  <c r="K17" i="1"/>
  <c r="L17" i="1"/>
  <c r="M17" i="1" s="1"/>
  <c r="L15" i="1"/>
  <c r="M15" i="1" s="1"/>
  <c r="K15" i="1"/>
  <c r="N15" i="1" s="1"/>
  <c r="L13" i="1"/>
  <c r="K13" i="1"/>
  <c r="I7" i="1"/>
  <c r="I8" i="1"/>
  <c r="J8" i="1" s="1"/>
  <c r="I5" i="1"/>
  <c r="K5" i="1"/>
  <c r="K8" i="1"/>
  <c r="K7" i="1"/>
  <c r="L7" i="1" s="1"/>
  <c r="N17" i="1" l="1"/>
  <c r="M16" i="1"/>
  <c r="N16" i="1" s="1"/>
  <c r="K18" i="1" s="1"/>
  <c r="N18" i="1" s="1"/>
  <c r="L18" i="1"/>
  <c r="M18" i="1" s="1"/>
</calcChain>
</file>

<file path=xl/sharedStrings.xml><?xml version="1.0" encoding="utf-8"?>
<sst xmlns="http://schemas.openxmlformats.org/spreadsheetml/2006/main" count="49" uniqueCount="43">
  <si>
    <t>Sample name</t>
  </si>
  <si>
    <t>Mass (g)</t>
  </si>
  <si>
    <t>3He (at/g)</t>
  </si>
  <si>
    <t>1s</t>
  </si>
  <si>
    <t>4He (at/g)</t>
  </si>
  <si>
    <t xml:space="preserve">1s </t>
  </si>
  <si>
    <t>3He/4He (Ra)</t>
  </si>
  <si>
    <t>Crushing duration</t>
  </si>
  <si>
    <t>3 min crushing (300 strokes)</t>
  </si>
  <si>
    <t>7 min crushing (700 strokes)</t>
  </si>
  <si>
    <t>5 min crushing (500 strokes)</t>
  </si>
  <si>
    <t>Below detection limit</t>
  </si>
  <si>
    <t>-</t>
  </si>
  <si>
    <t>Tube specific blank</t>
  </si>
  <si>
    <t>3He (at)</t>
  </si>
  <si>
    <t>4He (at)</t>
  </si>
  <si>
    <t>CRPG, march 2024. Analysis by PH Blard</t>
  </si>
  <si>
    <t>Weighted value</t>
  </si>
  <si>
    <t>Weight</t>
  </si>
  <si>
    <t>Table - He isotopic measurement after in vacuum crushing of pyroxene/olivine phenocrysts (grain diameter : 100 to 1000 microns)</t>
  </si>
  <si>
    <t>Patterson et al (1994) - analyses from fused samples</t>
  </si>
  <si>
    <t>Ohakune (clinopyroxenes)</t>
  </si>
  <si>
    <t>Waimarino (olivines)</t>
  </si>
  <si>
    <t>Ra = 1.39E-6</t>
  </si>
  <si>
    <t>3He/4He</t>
  </si>
  <si>
    <t>88244a</t>
  </si>
  <si>
    <t>88244b</t>
  </si>
  <si>
    <t>88244c</t>
  </si>
  <si>
    <t>88244 mean</t>
  </si>
  <si>
    <t>Total 3He and 4He values can be found in Patterson et al (1994)</t>
  </si>
  <si>
    <t>Uncertainty-weighted mean</t>
  </si>
  <si>
    <t>Final ratio used</t>
  </si>
  <si>
    <r>
      <t>1</t>
    </r>
    <r>
      <rPr>
        <sz val="12"/>
        <color theme="1"/>
        <rFont val="Calibri"/>
        <family val="2"/>
      </rPr>
      <t>σ</t>
    </r>
  </si>
  <si>
    <t>1σ</t>
  </si>
  <si>
    <t>(see file S4.2)</t>
  </si>
  <si>
    <t>Obtained with IsoplotR (Vermeesch, 2018)</t>
  </si>
  <si>
    <t>Note 1: for the 1sigma value for ratio of sample MA058 (cell L5), we have used twice the analytical 1sigma (0.7), as we suspect that radiogenic contamination may impact on the true magmatic 4He value</t>
  </si>
  <si>
    <r>
      <t>Note 2: The mean value of 8.6</t>
    </r>
    <r>
      <rPr>
        <sz val="12"/>
        <color theme="1"/>
        <rFont val="Calibri"/>
        <family val="2"/>
      </rPr>
      <t>±</t>
    </r>
    <r>
      <rPr>
        <sz val="12"/>
        <color theme="1"/>
        <rFont val="Arial"/>
        <family val="2"/>
      </rPr>
      <t>3.7E-6 for the Waimarino samples was obtained as an uncertainty-weighted average using IsoplotR</t>
    </r>
  </si>
  <si>
    <t>Weighted mean in Ra</t>
  </si>
  <si>
    <r>
      <t>1</t>
    </r>
    <r>
      <rPr>
        <sz val="12"/>
        <color theme="1"/>
        <rFont val="Calibri"/>
        <family val="2"/>
      </rPr>
      <t>σ</t>
    </r>
    <r>
      <rPr>
        <sz val="12"/>
        <color theme="1"/>
        <rFont val="Arial"/>
        <family val="2"/>
      </rPr>
      <t xml:space="preserve"> in Ra</t>
    </r>
  </si>
  <si>
    <t>MA-PD058</t>
  </si>
  <si>
    <t>WG-PD326</t>
  </si>
  <si>
    <t>DC-PD329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</si>
</sst>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E+00"/>
    <numFmt numFmtId="166" formatCode="0.0"/>
    <numFmt numFmtId="167" formatCode="0.000"/>
  </numFmts>
  <fonts count="5" x14ac:knownFonts="1">
    <font>
      <sz val="12"/>
      <color theme="1"/>
      <name val="Calibri"/>
      <family val="2"/>
      <scheme val="minor"/>
    </font>
    <font>
      <b/>
      <sz val="12"/>
      <color theme="1"/>
      <name val="Arial"/>
      <family val="2"/>
    </font>
    <font>
      <sz val="12"/>
      <color theme="1"/>
      <name val="Arial"/>
      <family val="2"/>
    </font>
    <font>
      <b/>
      <sz val="12"/>
      <color rgb="FFC00000"/>
      <name val="Arial"/>
      <family val="2"/>
    </font>
    <font>
      <sz val="12"/>
      <color theme="1"/>
      <name val="Calibri"/>
      <family val="2"/>
    </font>
  </fonts>
  <fills count="6">
    <fill>
      <patternFill patternType="none"/>
    </fill>
    <fill>
      <patternFill patternType="gray125"/>
    </fill>
    <fill>
      <patternFill patternType="solid">
        <fgColor theme="7"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8" tint="0.79998168889431442"/>
        <bgColor indexed="64"/>
      </patternFill>
    </fill>
  </fills>
  <borders count="1">
    <border>
      <left/>
      <right/>
      <top/>
      <bottom/>
      <diagonal/>
    </border>
  </borders>
  <cellStyleXfs count="1">
    <xf numFmtId="0" fontId="0" fillId="0" borderId="0"/>
  </cellStyleXfs>
  <cellXfs count="26">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164" fontId="2" fillId="0" borderId="0" xfId="0" applyNumberFormat="1" applyFont="1" applyAlignment="1">
      <alignment horizontal="center" vertical="center"/>
    </xf>
    <xf numFmtId="165" fontId="2" fillId="0" borderId="0" xfId="0" applyNumberFormat="1" applyFont="1" applyAlignment="1">
      <alignment horizontal="center" vertical="center"/>
    </xf>
    <xf numFmtId="11" fontId="2" fillId="0" borderId="0" xfId="0" applyNumberFormat="1" applyFont="1" applyAlignment="1">
      <alignment horizontal="center" vertical="center"/>
    </xf>
    <xf numFmtId="0" fontId="2" fillId="0" borderId="0" xfId="0" applyFont="1"/>
    <xf numFmtId="0" fontId="1" fillId="0" borderId="0" xfId="0" applyFont="1"/>
    <xf numFmtId="166" fontId="2" fillId="0" borderId="0" xfId="0" applyNumberFormat="1" applyFont="1"/>
    <xf numFmtId="165" fontId="2" fillId="0" borderId="0" xfId="0" applyNumberFormat="1" applyFont="1"/>
    <xf numFmtId="11" fontId="2" fillId="0" borderId="0" xfId="0" applyNumberFormat="1" applyFont="1"/>
    <xf numFmtId="0" fontId="1" fillId="0" borderId="0" xfId="0" applyFont="1" applyAlignment="1">
      <alignment horizontal="left" vertical="center"/>
    </xf>
    <xf numFmtId="166" fontId="3" fillId="0" borderId="0" xfId="0" applyNumberFormat="1" applyFont="1"/>
    <xf numFmtId="167" fontId="2" fillId="0" borderId="0" xfId="0" applyNumberFormat="1" applyFont="1"/>
    <xf numFmtId="0" fontId="1" fillId="2" borderId="0" xfId="0" applyFont="1" applyFill="1" applyAlignment="1">
      <alignment horizontal="center"/>
    </xf>
    <xf numFmtId="166" fontId="1" fillId="2" borderId="0" xfId="0" applyNumberFormat="1" applyFont="1" applyFill="1" applyAlignment="1">
      <alignment horizontal="center"/>
    </xf>
    <xf numFmtId="0" fontId="1" fillId="0" borderId="0" xfId="0" applyFont="1" applyAlignment="1">
      <alignment horizontal="right"/>
    </xf>
    <xf numFmtId="9" fontId="1" fillId="0" borderId="0" xfId="0" applyNumberFormat="1" applyFont="1" applyAlignment="1">
      <alignment horizontal="left"/>
    </xf>
    <xf numFmtId="0" fontId="1" fillId="3" borderId="0" xfId="0" applyFont="1" applyFill="1"/>
    <xf numFmtId="0" fontId="1" fillId="3" borderId="0" xfId="0" applyFont="1" applyFill="1" applyAlignment="1">
      <alignment horizontal="center" vertical="center"/>
    </xf>
    <xf numFmtId="0" fontId="1" fillId="4" borderId="0" xfId="0" applyFont="1" applyFill="1" applyAlignment="1">
      <alignment horizontal="left" vertical="center"/>
    </xf>
    <xf numFmtId="0" fontId="2" fillId="4" borderId="0" xfId="0" applyFont="1" applyFill="1" applyAlignment="1">
      <alignment horizontal="center" vertical="center"/>
    </xf>
    <xf numFmtId="0" fontId="1" fillId="4" borderId="0" xfId="0" applyFont="1" applyFill="1" applyAlignment="1">
      <alignment horizontal="center"/>
    </xf>
    <xf numFmtId="11" fontId="2" fillId="5" borderId="0" xfId="0" applyNumberFormat="1" applyFont="1" applyFill="1"/>
    <xf numFmtId="11" fontId="1" fillId="0" borderId="0" xfId="0" applyNumberFormat="1" applyFont="1"/>
    <xf numFmtId="11" fontId="1" fillId="2" borderId="0" xfId="0" applyNumberFormat="1"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7D754-9375-D74F-9EA5-C0469DBD4C2B}">
  <dimension ref="B1:T36"/>
  <sheetViews>
    <sheetView tabSelected="1" workbookViewId="0">
      <pane xSplit="2" ySplit="4" topLeftCell="I5" activePane="bottomRight" state="frozen"/>
      <selection pane="topRight" activeCell="C1" sqref="C1"/>
      <selection pane="bottomLeft" activeCell="A5" sqref="A5"/>
      <selection pane="bottomRight" activeCell="B8" sqref="B8"/>
    </sheetView>
  </sheetViews>
  <sheetFormatPr defaultColWidth="10.6640625" defaultRowHeight="15.5" x14ac:dyDescent="0.35"/>
  <cols>
    <col min="2" max="2" width="26" customWidth="1"/>
    <col min="3" max="3" width="27.33203125" bestFit="1" customWidth="1"/>
    <col min="4" max="4" width="15.5" bestFit="1" customWidth="1"/>
    <col min="7" max="7" width="20" bestFit="1" customWidth="1"/>
    <col min="8" max="8" width="12.33203125" bestFit="1" customWidth="1"/>
    <col min="9" max="10" width="12.33203125" customWidth="1"/>
    <col min="11" max="11" width="13.5" bestFit="1" customWidth="1"/>
    <col min="12" max="12" width="8.75" customWidth="1"/>
  </cols>
  <sheetData>
    <row r="1" spans="2:20" s="6" customFormat="1" x14ac:dyDescent="0.35">
      <c r="B1" s="7" t="s">
        <v>19</v>
      </c>
      <c r="C1" s="7"/>
      <c r="D1" s="7"/>
      <c r="E1" s="7"/>
      <c r="F1" s="7"/>
      <c r="G1" s="7"/>
      <c r="H1" s="7"/>
      <c r="I1" s="7"/>
      <c r="J1" s="7"/>
      <c r="K1" s="7"/>
      <c r="L1" s="7"/>
    </row>
    <row r="2" spans="2:20" s="6" customFormat="1" x14ac:dyDescent="0.35">
      <c r="B2" s="18" t="s">
        <v>16</v>
      </c>
      <c r="C2" s="18"/>
      <c r="D2" s="7" t="s">
        <v>23</v>
      </c>
      <c r="E2" s="7"/>
      <c r="F2" s="7"/>
      <c r="G2" s="7"/>
      <c r="H2" s="7"/>
      <c r="I2" s="7"/>
      <c r="J2" s="7"/>
      <c r="K2" s="7"/>
      <c r="L2" s="7"/>
    </row>
    <row r="3" spans="2:20" s="6" customFormat="1" x14ac:dyDescent="0.35">
      <c r="B3" s="7"/>
      <c r="C3" s="7"/>
      <c r="E3" s="7"/>
      <c r="F3" s="7"/>
      <c r="G3" s="7"/>
      <c r="H3" s="7"/>
      <c r="I3" s="7"/>
      <c r="J3" s="24">
        <f>J5*2</f>
        <v>1.9571271123123387E-6</v>
      </c>
      <c r="Q3" s="7" t="s">
        <v>13</v>
      </c>
    </row>
    <row r="4" spans="2:20" s="6" customFormat="1" x14ac:dyDescent="0.35">
      <c r="B4" s="7" t="s">
        <v>0</v>
      </c>
      <c r="C4" s="7" t="s">
        <v>7</v>
      </c>
      <c r="D4" s="7" t="s">
        <v>1</v>
      </c>
      <c r="E4" s="7" t="s">
        <v>2</v>
      </c>
      <c r="F4" s="7" t="s">
        <v>3</v>
      </c>
      <c r="G4" s="7" t="s">
        <v>4</v>
      </c>
      <c r="H4" s="7" t="s">
        <v>5</v>
      </c>
      <c r="I4" s="7" t="s">
        <v>24</v>
      </c>
      <c r="J4" s="7" t="s">
        <v>33</v>
      </c>
      <c r="K4" s="7" t="s">
        <v>6</v>
      </c>
      <c r="L4" s="7" t="s">
        <v>33</v>
      </c>
      <c r="M4" s="7" t="s">
        <v>18</v>
      </c>
      <c r="N4" s="7" t="s">
        <v>17</v>
      </c>
      <c r="Q4" s="7" t="s">
        <v>14</v>
      </c>
      <c r="R4" s="7" t="s">
        <v>3</v>
      </c>
      <c r="S4" s="7" t="s">
        <v>15</v>
      </c>
      <c r="T4" s="7" t="s">
        <v>5</v>
      </c>
    </row>
    <row r="5" spans="2:20" s="6" customFormat="1" x14ac:dyDescent="0.35">
      <c r="B5" s="19" t="s">
        <v>40</v>
      </c>
      <c r="C5" s="2" t="s">
        <v>10</v>
      </c>
      <c r="D5" s="3">
        <v>0.40100000000000002</v>
      </c>
      <c r="E5" s="5">
        <v>90366.197216714543</v>
      </c>
      <c r="F5" s="4">
        <v>25309.582071880264</v>
      </c>
      <c r="G5" s="5">
        <v>25925461477.43779</v>
      </c>
      <c r="H5" s="5">
        <v>500818436.75378835</v>
      </c>
      <c r="I5" s="5">
        <f>E5/G5</f>
        <v>3.4856157640764749E-6</v>
      </c>
      <c r="J5" s="5">
        <f>I5*SQRT((F5/E5)^2+(H5/G5)^2)</f>
        <v>9.7856355615616935E-7</v>
      </c>
      <c r="K5" s="8">
        <f>E5/G5/0.00000139</f>
        <v>2.5076372403427878</v>
      </c>
      <c r="L5" s="12">
        <v>1.4</v>
      </c>
      <c r="M5" s="13"/>
      <c r="N5" s="13"/>
      <c r="Q5" s="9">
        <v>18118.422541951273</v>
      </c>
      <c r="R5" s="9">
        <v>4534.2224001519935</v>
      </c>
      <c r="S5" s="9">
        <v>3083591964.7105036</v>
      </c>
      <c r="T5" s="9">
        <v>88531006.142248601</v>
      </c>
    </row>
    <row r="6" spans="2:20" s="6" customFormat="1" x14ac:dyDescent="0.35">
      <c r="B6" s="19" t="s">
        <v>41</v>
      </c>
      <c r="C6" s="2" t="s">
        <v>8</v>
      </c>
      <c r="D6" s="3">
        <v>0.49</v>
      </c>
      <c r="E6" s="5">
        <v>43139.10129036018</v>
      </c>
      <c r="F6" s="4">
        <v>32794.975842811815</v>
      </c>
      <c r="G6" s="5" t="s">
        <v>11</v>
      </c>
      <c r="H6" s="5" t="s">
        <v>12</v>
      </c>
      <c r="I6" s="5" t="s">
        <v>12</v>
      </c>
      <c r="J6" s="5"/>
      <c r="M6" s="13"/>
      <c r="N6" s="13"/>
      <c r="Q6" s="9">
        <v>37746.713629065147</v>
      </c>
      <c r="R6" s="9">
        <v>10577.668434886547</v>
      </c>
      <c r="S6" s="9">
        <v>2026360433.9526169</v>
      </c>
      <c r="T6" s="9">
        <v>176297950.41513598</v>
      </c>
    </row>
    <row r="7" spans="2:20" s="6" customFormat="1" x14ac:dyDescent="0.35">
      <c r="B7" s="19" t="s">
        <v>41</v>
      </c>
      <c r="C7" s="2" t="s">
        <v>9</v>
      </c>
      <c r="D7" s="3">
        <v>0.49</v>
      </c>
      <c r="E7" s="5">
        <v>77034.109447071736</v>
      </c>
      <c r="F7" s="4">
        <v>28475.265562827899</v>
      </c>
      <c r="G7" s="5">
        <v>4315230737.7872925</v>
      </c>
      <c r="H7" s="5">
        <v>509246878.59575379</v>
      </c>
      <c r="I7" s="5">
        <f t="shared" ref="I7:I8" si="0">E7/G7</f>
        <v>1.7851677958377791E-5</v>
      </c>
      <c r="J7" s="5">
        <f>I7*SQRT((F7/E7)^2+(H7/G7)^2)</f>
        <v>6.9269126574577961E-6</v>
      </c>
      <c r="K7" s="8">
        <f>E7/G7/0.00000139</f>
        <v>12.842933783005604</v>
      </c>
      <c r="L7" s="8">
        <f>K7*SQRT(((F7/E7)^2)+(H7/G7)^2)</f>
        <v>4.9833904010487737</v>
      </c>
      <c r="M7" s="13"/>
      <c r="N7" s="13"/>
      <c r="Q7" s="9">
        <v>37746.713629065147</v>
      </c>
      <c r="R7" s="9">
        <v>10577.668434886547</v>
      </c>
      <c r="S7" s="9">
        <v>2026360433.9526169</v>
      </c>
      <c r="T7" s="9">
        <v>176297950.41513598</v>
      </c>
    </row>
    <row r="8" spans="2:20" s="6" customFormat="1" x14ac:dyDescent="0.35">
      <c r="B8" s="19" t="s">
        <v>42</v>
      </c>
      <c r="C8" s="2" t="s">
        <v>10</v>
      </c>
      <c r="D8" s="3">
        <v>0.35099999999999998</v>
      </c>
      <c r="E8" s="5">
        <v>30111.338507516361</v>
      </c>
      <c r="F8" s="4">
        <v>19245.825460961874</v>
      </c>
      <c r="G8" s="5">
        <v>3263060280.1169357</v>
      </c>
      <c r="H8" s="5">
        <v>561351411.31703436</v>
      </c>
      <c r="I8" s="5">
        <f t="shared" si="0"/>
        <v>9.2279442984845144E-6</v>
      </c>
      <c r="J8" s="5">
        <f>I8*SQRT((F8/E8)^2+(H8/G8)^2)</f>
        <v>6.1079981252909335E-6</v>
      </c>
      <c r="K8" s="8">
        <f>E8/G8/0.00000139</f>
        <v>6.6388088478305853</v>
      </c>
      <c r="L8" s="8">
        <f>K8*SQRT(((F8/E8)^2)+(H8/G8)^2)</f>
        <v>4.3942432556049882</v>
      </c>
      <c r="M8" s="13"/>
      <c r="N8" s="13"/>
      <c r="Q8" s="9">
        <v>6039.4741806504244</v>
      </c>
      <c r="R8" s="9">
        <v>3020.5068451276907</v>
      </c>
      <c r="S8" s="9">
        <v>88102627.563157246</v>
      </c>
      <c r="T8" s="9">
        <v>88102978.109418884</v>
      </c>
    </row>
    <row r="9" spans="2:20" s="6" customFormat="1" x14ac:dyDescent="0.35">
      <c r="B9" s="1"/>
      <c r="C9" s="2"/>
      <c r="D9" s="3"/>
      <c r="E9" s="1"/>
      <c r="F9" s="2"/>
      <c r="G9" s="2"/>
      <c r="H9" s="1"/>
      <c r="I9" s="1"/>
      <c r="J9" s="1"/>
      <c r="K9" s="8"/>
      <c r="L9" s="8"/>
      <c r="M9" s="13"/>
      <c r="N9" s="13"/>
      <c r="O9" s="9"/>
      <c r="P9" s="9"/>
      <c r="Q9" s="9"/>
      <c r="R9" s="9"/>
    </row>
    <row r="10" spans="2:20" s="6" customFormat="1" x14ac:dyDescent="0.35">
      <c r="B10" s="20" t="s">
        <v>20</v>
      </c>
      <c r="C10" s="21"/>
      <c r="K10" s="10"/>
      <c r="L10" s="10"/>
      <c r="M10" s="13"/>
      <c r="N10" s="13"/>
    </row>
    <row r="11" spans="2:20" s="6" customFormat="1" x14ac:dyDescent="0.35">
      <c r="B11" s="11"/>
      <c r="C11" s="2"/>
      <c r="K11" s="10"/>
      <c r="L11" s="10"/>
      <c r="M11" s="13"/>
      <c r="N11" s="13"/>
    </row>
    <row r="12" spans="2:20" s="6" customFormat="1" x14ac:dyDescent="0.35">
      <c r="B12" s="7" t="s">
        <v>21</v>
      </c>
      <c r="M12" s="13"/>
      <c r="N12" s="13"/>
    </row>
    <row r="13" spans="2:20" s="6" customFormat="1" x14ac:dyDescent="0.35">
      <c r="B13" s="22">
        <v>88206</v>
      </c>
      <c r="E13" s="6" t="s">
        <v>29</v>
      </c>
      <c r="I13" s="10">
        <v>6.4999999999999996E-6</v>
      </c>
      <c r="J13" s="10">
        <v>2.3999999999999999E-6</v>
      </c>
      <c r="K13" s="8">
        <f>I13/0.00000139</f>
        <v>4.6762589928057547</v>
      </c>
      <c r="L13" s="8">
        <f>J13/0.00000139</f>
        <v>1.7266187050359711</v>
      </c>
      <c r="M13" s="13"/>
      <c r="N13" s="13"/>
      <c r="O13" s="10"/>
      <c r="P13" s="10"/>
    </row>
    <row r="14" spans="2:20" s="6" customFormat="1" x14ac:dyDescent="0.35">
      <c r="B14" s="7" t="s">
        <v>22</v>
      </c>
      <c r="I14" s="10"/>
      <c r="J14" s="10"/>
      <c r="K14" s="8"/>
      <c r="L14" s="8"/>
      <c r="M14" s="13"/>
      <c r="N14" s="13"/>
      <c r="O14" s="10"/>
      <c r="P14" s="10"/>
    </row>
    <row r="15" spans="2:20" s="6" customFormat="1" x14ac:dyDescent="0.35">
      <c r="B15" s="22" t="s">
        <v>25</v>
      </c>
      <c r="I15" s="10">
        <v>8.9299999999999992E-6</v>
      </c>
      <c r="J15" s="10">
        <v>6.7000000000000002E-6</v>
      </c>
      <c r="K15" s="8">
        <f>I15/0.00000139</f>
        <v>6.4244604316546754</v>
      </c>
      <c r="L15" s="8">
        <f>J15/0.00000139</f>
        <v>4.8201438848920866</v>
      </c>
      <c r="M15" s="13">
        <f>1/L15^2</f>
        <v>4.3040766317665402E-2</v>
      </c>
      <c r="N15" s="13">
        <f>K15*M15</f>
        <v>0.27651370015593668</v>
      </c>
      <c r="O15" s="10"/>
      <c r="P15" s="10"/>
    </row>
    <row r="16" spans="2:20" s="6" customFormat="1" x14ac:dyDescent="0.35">
      <c r="B16" s="22" t="s">
        <v>26</v>
      </c>
      <c r="I16" s="10">
        <v>8.9600000000000006E-6</v>
      </c>
      <c r="J16" s="10">
        <v>2.7E-6</v>
      </c>
      <c r="K16" s="8">
        <f t="shared" ref="K16:K17" si="1">I16/0.00000139</f>
        <v>6.4460431654676258</v>
      </c>
      <c r="L16" s="8">
        <f t="shared" ref="L16:L17" si="2">J16/0.00000139</f>
        <v>1.9424460431654675</v>
      </c>
      <c r="M16" s="13">
        <f>1/L16^2</f>
        <v>0.26503429355281211</v>
      </c>
      <c r="N16" s="13">
        <f>K16*M16</f>
        <v>1.7084224965706449</v>
      </c>
    </row>
    <row r="17" spans="2:15" s="6" customFormat="1" x14ac:dyDescent="0.35">
      <c r="B17" s="22" t="s">
        <v>27</v>
      </c>
      <c r="I17" s="10">
        <v>8.0800000000000006E-6</v>
      </c>
      <c r="J17" s="10">
        <v>2.7999999999999999E-6</v>
      </c>
      <c r="K17" s="8">
        <f t="shared" si="1"/>
        <v>5.8129496402877701</v>
      </c>
      <c r="L17" s="8">
        <f t="shared" si="2"/>
        <v>2.014388489208633</v>
      </c>
      <c r="M17" s="13">
        <f>1/L17^2</f>
        <v>0.24644132653061224</v>
      </c>
      <c r="N17" s="13">
        <f>K17*M17</f>
        <v>1.4325510204081633</v>
      </c>
    </row>
    <row r="18" spans="2:15" s="6" customFormat="1" x14ac:dyDescent="0.35">
      <c r="B18" s="22" t="s">
        <v>28</v>
      </c>
      <c r="I18" s="23">
        <f>0.0000086</f>
        <v>8.6000000000000007E-6</v>
      </c>
      <c r="J18" s="23">
        <f>0.0000037</f>
        <v>3.7000000000000002E-6</v>
      </c>
      <c r="K18" s="8">
        <f>SUM(N15:N17)/SUM(M15:M17)</f>
        <v>6.1630049191419678</v>
      </c>
      <c r="L18" s="8">
        <f>SQRT(1/SUM(M15:M17))</f>
        <v>1.3428973220910241</v>
      </c>
      <c r="M18" s="13">
        <f>1/L18^2</f>
        <v>0.5545163864010898</v>
      </c>
      <c r="N18" s="13">
        <f>K18*M18</f>
        <v>3.4174872171347448</v>
      </c>
    </row>
    <row r="19" spans="2:15" s="6" customFormat="1" x14ac:dyDescent="0.35"/>
    <row r="20" spans="2:15" s="6" customFormat="1" x14ac:dyDescent="0.35">
      <c r="B20" s="14" t="s">
        <v>31</v>
      </c>
      <c r="H20" s="16" t="s">
        <v>30</v>
      </c>
      <c r="I20" s="25">
        <f>0.0000059</f>
        <v>5.9000000000000003E-6</v>
      </c>
      <c r="J20" s="6" t="s">
        <v>35</v>
      </c>
      <c r="M20" s="17"/>
      <c r="N20" s="15">
        <f>I20/0.00000139</f>
        <v>4.2446043165467628</v>
      </c>
      <c r="O20" s="6" t="s">
        <v>38</v>
      </c>
    </row>
    <row r="21" spans="2:15" s="6" customFormat="1" x14ac:dyDescent="0.35">
      <c r="B21" s="14" t="s">
        <v>34</v>
      </c>
      <c r="E21" s="10"/>
      <c r="F21" s="10"/>
      <c r="H21" s="16" t="s">
        <v>32</v>
      </c>
      <c r="I21" s="25">
        <f>0.0000026</f>
        <v>2.6000000000000001E-6</v>
      </c>
      <c r="N21" s="15">
        <f>I21/0.00000139</f>
        <v>1.8705035971223021</v>
      </c>
      <c r="O21" s="6" t="s">
        <v>39</v>
      </c>
    </row>
    <row r="22" spans="2:15" s="6" customFormat="1" x14ac:dyDescent="0.35">
      <c r="B22" s="6" t="s">
        <v>36</v>
      </c>
    </row>
    <row r="23" spans="2:15" s="6" customFormat="1" x14ac:dyDescent="0.35">
      <c r="B23" s="6" t="s">
        <v>37</v>
      </c>
    </row>
    <row r="24" spans="2:15" s="6" customFormat="1" x14ac:dyDescent="0.35">
      <c r="G24" s="13"/>
      <c r="H24" s="13"/>
    </row>
    <row r="25" spans="2:15" s="6" customFormat="1" x14ac:dyDescent="0.35"/>
    <row r="26" spans="2:15" s="6" customFormat="1" x14ac:dyDescent="0.35"/>
    <row r="27" spans="2:15" s="6" customFormat="1" x14ac:dyDescent="0.35"/>
    <row r="28" spans="2:15" s="6" customFormat="1" x14ac:dyDescent="0.35"/>
    <row r="29" spans="2:15" s="6" customFormat="1" x14ac:dyDescent="0.35"/>
    <row r="30" spans="2:15" s="6" customFormat="1" x14ac:dyDescent="0.35"/>
    <row r="31" spans="2:15" s="6" customFormat="1" x14ac:dyDescent="0.35"/>
    <row r="32" spans="2:15" s="6" customFormat="1" x14ac:dyDescent="0.35"/>
    <row r="33" s="6" customFormat="1" x14ac:dyDescent="0.35"/>
    <row r="34" s="6" customFormat="1" x14ac:dyDescent="0.35"/>
    <row r="35" s="6" customFormat="1" x14ac:dyDescent="0.35"/>
    <row r="36" s="6" customFormat="1"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1</vt:i4>
      </vt:variant>
    </vt:vector>
  </HeadingPairs>
  <TitlesOfParts>
    <vt:vector size="1" baseType="lpstr">
      <vt:lpstr>Magmatic correction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Pierre-Henri Blard</dc:creator>
  <cp:lastModifiedBy>Pedro Doll</cp:lastModifiedBy>
  <dcterms:created xsi:type="dcterms:W3CDTF">2024-03-07T19:09:54Z</dcterms:created>
  <dcterms:modified xsi:type="dcterms:W3CDTF">2024-03-17T06:18:27Z</dcterms:modified>
</cp:coreProperties>
</file>